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4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</sheets>
  <definedNames/>
  <calcPr fullCalcOnLoad="1" refMode="R1C1"/>
</workbook>
</file>

<file path=xl/sharedStrings.xml><?xml version="1.0" encoding="utf-8"?>
<sst xmlns="http://schemas.openxmlformats.org/spreadsheetml/2006/main" count="1145" uniqueCount="457">
  <si>
    <t>№ п.п</t>
  </si>
  <si>
    <t>Наименование объекта</t>
  </si>
  <si>
    <t>% износа</t>
  </si>
  <si>
    <t>Причина</t>
  </si>
  <si>
    <t>Мероприятия по устранению аварийных отключений</t>
  </si>
  <si>
    <t>ПС «Ииндустрия» 110/6кВ</t>
  </si>
  <si>
    <t>ТП 14/8  10/0,4кВ</t>
  </si>
  <si>
    <t>ТП 1/46  6/0,4кВ</t>
  </si>
  <si>
    <t>ТП 4/8 (Агропромэнерго) 6/0,4кВ</t>
  </si>
  <si>
    <t>ЦРП №13  10кВ</t>
  </si>
  <si>
    <t>ТП 13/1  10/0,4кВ</t>
  </si>
  <si>
    <t>ТП 1/23 (Химчистка)  6/0,4кВ</t>
  </si>
  <si>
    <t>ТП 12/15 10/0,4 кВ</t>
  </si>
  <si>
    <t>КТП 6/1  6/0,4кВ</t>
  </si>
  <si>
    <t>ТП «Европа»</t>
  </si>
  <si>
    <t>ВЛ 110кВ «Индустрия-1» (ф.№8) – ПС «Ииндустрия» 110/6кВ</t>
  </si>
  <si>
    <t>ВЛ 110кВ «Индустрия-2» (ф.№9) – ПС «Ииндустрия» 110/6кВ</t>
  </si>
  <si>
    <t>Трансформаторные подстанции</t>
  </si>
  <si>
    <t>Воздушные и кабельные линии</t>
  </si>
  <si>
    <t>КЛ-1 0,4кВ  ТП9/12 (ф.№3) – Курская 76/2</t>
  </si>
  <si>
    <t>КЛ-2 0,4кВ  ТП9/12 (ф.№12) – Курская 76/2</t>
  </si>
  <si>
    <t>КЛ-3 0,4кВ  ТП9/12 (ф.№3) – Курская 76/2</t>
  </si>
  <si>
    <t>КЛ-4 0,4кВ  ТП9/12  (ф.№12) – Курская 76/2</t>
  </si>
  <si>
    <t>КЛ-1 10кВ  ЦРП№13  (ф.№22) – ТП13/1</t>
  </si>
  <si>
    <t>КЛ-2 10кВ  ЦРП№13  (ф.№15) – ТП13/1</t>
  </si>
  <si>
    <t>КЛ-1 0,4кВ  ТП12/5 (ф.№18) – Ленина 80/1</t>
  </si>
  <si>
    <t>КЛ-2 0,4кВ  ТП12/5 (ф.№20) – Ленина 80/1</t>
  </si>
  <si>
    <t>КЛ-3 0,4кВ  ТП12/5 (ф.№22) – Ленина 80/1</t>
  </si>
  <si>
    <t>КЛ-4 0,4кВ  ТП12/5 (ф.№24) – Ленина 80/1</t>
  </si>
  <si>
    <t>КЛ-1 0,4кВ  ТП22/2 (ШРС-0,4) – ГСК Мира 66</t>
  </si>
  <si>
    <t>КЛ-2 10кВ  ПС «Сапфир» (ф.№21) – ЦРП №13</t>
  </si>
  <si>
    <t>КЛ-1 10кВ  ПС «Сапфир» (ф.№4) – ЦРП №13</t>
  </si>
  <si>
    <t>КЛ 6кВ «Агропромэнерго-1»  ТП4/6 (ф.№4) – ТП4/8</t>
  </si>
  <si>
    <t xml:space="preserve">КЛ 6кВ «Агропромэнерго-2»  ТП4/6 (ф.№4) – ТП4/8 </t>
  </si>
  <si>
    <t>КЛ-1 10кВ  ТП14/3 (ф.№5) – ТП14/8</t>
  </si>
  <si>
    <t>КЛ-2 10кВ  ТП14/3 (ф.№6) – ТП14/8</t>
  </si>
  <si>
    <t>КЛ-1 6кВ  ПС №46 (ф.№1) – ТП1/46</t>
  </si>
  <si>
    <t>КЛ-2 6кВ  ПС №46 (ф.№18) – ТП1/46</t>
  </si>
  <si>
    <t>КЛ  6кВ  ТП1/3 (ф.№2) –  ТП1/23</t>
  </si>
  <si>
    <t>Объем недопоставленной эл.энергии, кВт.час *</t>
  </si>
  <si>
    <t>*</t>
  </si>
  <si>
    <t>КТП 15/1  10/0,4кВ</t>
  </si>
  <si>
    <t>величина, расчитанная по данным сетевой организации (расчет по предыдущему месяцу). Величина может незначительно отличаться от данных потребителей.</t>
  </si>
  <si>
    <t>КЛ-1 10кВ  ЦРП№13  (ф.№23) – ТП "Европа"</t>
  </si>
  <si>
    <t>КЛ-2 10кВ  ЦРП№13  (ф.№18) – ТП "Европа"</t>
  </si>
  <si>
    <t>ТП 12/16 10/0,4 кВ</t>
  </si>
  <si>
    <t>КЛ-1 10кВ  ТП12/12  (ф.№6) – ТП12/16</t>
  </si>
  <si>
    <t>КЛ-2 10кВ  ТП12/7  (ф.№6) – ТП12/16</t>
  </si>
  <si>
    <t>1. Сводные данные об аварийных отключениях в месяц по границам территориальных зон деятельности организации;</t>
  </si>
  <si>
    <t>2. Объем недопоставленной в результате аварийных отключений электрической энергии.</t>
  </si>
  <si>
    <t>ТП 13/2  10/0,4кВ</t>
  </si>
  <si>
    <t>ПС "Сапфир" 110/10/10кВ</t>
  </si>
  <si>
    <t>КЛ-2 10кВ  ЦРП№13  (ф.№17) – ТП13/2</t>
  </si>
  <si>
    <t>КЛ-1 10кВ  ЦРП№13  (ф.№20) – ТП13/2</t>
  </si>
  <si>
    <t>н/д (арен.имущ.)</t>
  </si>
  <si>
    <t>Дата отключения</t>
  </si>
  <si>
    <t>Кол-во аварийных отключений в текущем году</t>
  </si>
  <si>
    <t>ТП 13/3  10/0,4кВ</t>
  </si>
  <si>
    <t>ВЛ  10кВ  ПС «Сапфир» (ф.№16) – КТП 15/1, 15/2</t>
  </si>
  <si>
    <t>Повреждение КЛ-10 кВ сторонней организацией, отключение СШ-10кВ</t>
  </si>
  <si>
    <t>КЛ-1 10кВ  ТП13/1  (ф.№5) – ТП13/3</t>
  </si>
  <si>
    <t>КЛ-2 10кВ  ТП13/1  (ф.№6) – ТП13/3</t>
  </si>
  <si>
    <t>Ремонт КЛ-10</t>
  </si>
  <si>
    <t>Сведения о техническом состоянии сетей за 4 кв. 2012 года (по состоянию на 31.12.2012г.):</t>
  </si>
  <si>
    <t>13.01.2012             26.03.2012         11.06.2012          27.07.2012        06.08.2012             04.09.2012       05.11.2012</t>
  </si>
  <si>
    <t>КЗ на отходящей ВЛ-6кВ потребителя (яч.20)                                                           КЗ на отходящей ВЛ-6кВ потребителя (яч.20) пробой муфты                         КЗ на отходящей ВЛ-6кВ потребителя (яч.7) перехлест проводов                           Отключение ч.12, Обрыв провода на ВЛ-6кВ потребителя                                  Отключение яч.№2, повреждение на КЛ-6кВ потребителя                           Отключение яч.№2, превышение мощности потребителем                           Отключение яч.2, КЗ на концевой муфте КЛ-6кВ</t>
  </si>
  <si>
    <t>1350                    970                        100                     700                    830                  416                  972</t>
  </si>
  <si>
    <t>Устранение потребителем КЗ, обход линии потребителем          Замена муфты                                                                                       Устранение перехлеста, обход линии                                                   Устранение повреждения потребителем                                                  Устранение повреждения потребителем                                         Перераспределение мощности потребителем                                         Подключение потребителя по резервной линии</t>
  </si>
  <si>
    <t>Отключение яч.15 (из-за превышения мощности потребителем)</t>
  </si>
  <si>
    <t>Снижение нагрузки потребителем, осмотр оборудования</t>
  </si>
  <si>
    <t>16.01.2012                   27.02.2012      18.05.2012</t>
  </si>
  <si>
    <t>1. Отключение КЛ-0,4кВ из-за превышения мощности потребителем               2. Отключение КЛ-0,4кВ из-за превышения мощности потребителем       3. КЗ на КЛ-6кВ, ввод №1</t>
  </si>
  <si>
    <t xml:space="preserve">100                  575                      324         </t>
  </si>
  <si>
    <t>1. Замена предохранителей в РУ-0,4кВ                                                  2. Замена предохранителей в РУ-0,4кВ                                            3. Переведено питание на резервную КЛ-6кВ</t>
  </si>
  <si>
    <t>07.01.2012      05.03.2012       08.11.2012</t>
  </si>
  <si>
    <t>КЗ на отходящих КЛ-0,4кВ потребителя (КНС)                                                   КЗ на отходящих КЛ-0,4кВ потребителя (ф.16)                                           КЗ на отходящей КЛ-0,4кВ потребителя</t>
  </si>
  <si>
    <t>100                     185                         83</t>
  </si>
  <si>
    <t>Отключение КЛ-0,4 и перевод эл.снабжения КНС на резерв      Устранение КЗ                                                                                       Устранение КЗ, предписание по реконструкции КЛ-0,4</t>
  </si>
  <si>
    <t>Повреждение на КЛ-10кВ между ТП 12/16 и ТП 12/7 велись строительные работы без согласования с ООО "ЖСК"</t>
  </si>
  <si>
    <t>Устранение повреждения, запитывание потребителей по резервной схеме</t>
  </si>
  <si>
    <t>КЗ на шинах автоматических выключателей  1 СШ  РУ-0,4</t>
  </si>
  <si>
    <t>Замена автоматических выключателей</t>
  </si>
  <si>
    <t>11.06.2012          13.06.2012</t>
  </si>
  <si>
    <t>КЗ на фазе "А" из-за сильного ветра                                                                                 КЗ на фазе "А" из-за сильного ветра</t>
  </si>
  <si>
    <t>4500                            850</t>
  </si>
  <si>
    <t>АПВ не успешное. РПВ успешное.                                                                  АПВ не успешное. Ремонт обводного шлейфа опоры №41</t>
  </si>
  <si>
    <t>25.05.2012                    11.06.2012          13.06.2012</t>
  </si>
  <si>
    <t>КЗ на фазе "А" из-за сильного ветра                                                                                 КЗ на фазе "А" из-за сильного ветра                                                                         КЗ на фазе "С", обрыв грозозащитного троса между опорами №№4-5</t>
  </si>
  <si>
    <t>0                               4500                                  850</t>
  </si>
  <si>
    <t>АПВ успешное                                                                                            АПВ не успешное. РПВ успешное.                                                                  АПВ не успешное. Ремонт шлейфа на аппаратном зажиме ЛР-110 ПС "Железногорская 330", Демонтаж грозозащитного троса.</t>
  </si>
  <si>
    <t>Попадание молнии в фазу "А", обрыв шлейфа на опоре №23</t>
  </si>
  <si>
    <t>Успешное АПВ</t>
  </si>
  <si>
    <t>Ремонт шлейфа</t>
  </si>
  <si>
    <t>04.01.2013     19.04.2013     29.04.2013     18.05.2013</t>
  </si>
  <si>
    <t xml:space="preserve">Повреждение КЛ-10 кВ сторонней орган-ей, отключение СШ-10кВ             Сбой работы РЗиА                                                                                                        Срабатывание защиты от перегрузки по току                                                           Повреждение КЛ-10 кВ сторонней орган-ей, отключение СШ-10кВ  </t>
  </si>
  <si>
    <t>Восстановление схемы электроснабжения по резервной схеме. Ремонт КЛ-10кВ. Внеочередная проверка РЗиА.</t>
  </si>
  <si>
    <t>Повреждение КЛ-6 кВ сторонней организацией, отключение ф.№18</t>
  </si>
  <si>
    <t>Рервирование эл.снабжения ТП 1/46. Ремонт КЛ-6кВ</t>
  </si>
  <si>
    <t>Отключение СШ-10кВ ПС "Сапфир" из-за срабатывание защиты от перегрузки на ПС "Сапфир" (см.ЦРП №13)</t>
  </si>
  <si>
    <t>Восстановление схемы электроснабжения.</t>
  </si>
  <si>
    <t>Восстановление схемы электроснабжения. Перерасчет уставок РЗиА</t>
  </si>
  <si>
    <t>28.04.2013               29.06.2013</t>
  </si>
  <si>
    <t>Попадание молнии в фазу "А"                                                                                     Попадание молнии в фазу "А"</t>
  </si>
  <si>
    <t>Повреждение КЛ-0,4кВ между ВРУ-1 и ВРУ-2 из-за пожара в доме</t>
  </si>
  <si>
    <t>Ремонт КЛ-0,4, монтаж кабельной вставки</t>
  </si>
  <si>
    <t>11.08.2013   05.11.2013</t>
  </si>
  <si>
    <t>КЗ на на отходящей КЛ-0,4кВ (ф.9 к ж.д.Димитрова 8/6)                                           КЗ на на отходящей КЛ-0,4кВ (ф.5 к ж.д.Димитрова 8/6)</t>
  </si>
  <si>
    <t>Восстановление схемы электроснабжения по резервной схеме. Замена участка КЛ под дорогой.</t>
  </si>
  <si>
    <t>Нессимметричная нагрузка по фазам</t>
  </si>
  <si>
    <t>Замена предохранителей на фидере в РУ-0,4кВ ТП</t>
  </si>
  <si>
    <t>Повреждение КЛ-10 кВ сторонней организацией ООО "ФСК"</t>
  </si>
  <si>
    <t>Сведения о техническом состоянии сетей за 4-и квартала 2013 года (по состоянию на 31.12.2013г.):</t>
  </si>
  <si>
    <t>КЗ на фазе А</t>
  </si>
  <si>
    <t>02.01.2014   25.04.2014   25.04.2014</t>
  </si>
  <si>
    <t>КЗ на концевой муфте КЛ-6кВ потребителя яч.№20                                     КЗ на КЛ-6кВ потребителя, яч.№23                                                                  КЗ на РЛНД-6кВ потребителя, яч.№7</t>
  </si>
  <si>
    <t>величина (по причине СО), расчитанная по данным сетевой организации (расчет по предыдущему месяцу). Величина может незначительно отличаться от данных потребителей.</t>
  </si>
  <si>
    <t>Ремонт муфты КЛ-6кВ потребителем                                                  Вывод яч.№23 в ремонтное положение                                                  Включение яч.№7 после ремонта РЛНД-6кВ</t>
  </si>
  <si>
    <t>Успешное АВР, ремонт КЛ</t>
  </si>
  <si>
    <t>КЗ на КЛ, повреждение КЛ в ходе земляных работ</t>
  </si>
  <si>
    <t>КЗ на Ф.11</t>
  </si>
  <si>
    <t>ВЛИ-0,4кВ №1  КТП 15/1 – «Городские Дачи», РУ №1</t>
  </si>
  <si>
    <t>ВЛИ-0,4кВ №2  КТП 15/1 – «Блок гаражей»</t>
  </si>
  <si>
    <t>ВЛИ-0,4кВ №1  ТП 4/8 – РУ №1 (МРЭО)</t>
  </si>
  <si>
    <t>ВЛИ-0,4кВ №2  ТП 4/8 – РУ №2 (ССР)</t>
  </si>
  <si>
    <t>2041                    0                          0</t>
  </si>
  <si>
    <t>КЗ на КЛ-10кВ потребителя (ТП 13/7)</t>
  </si>
  <si>
    <t>Переключение на резервную КЛ</t>
  </si>
  <si>
    <t>Сведения о техническом состоянии сетей за 4-е квартала 2014 года (по состоянию на 31.12.2014г.):</t>
  </si>
  <si>
    <t>15.03.2014   17.12.2014</t>
  </si>
  <si>
    <t>КЗ на КЛ - неисправность соединительной муфты, КЗ на СШ №1, повреждение сторонней организацией</t>
  </si>
  <si>
    <t>28.11.2014   29.12.2014</t>
  </si>
  <si>
    <t>КТП 6/2  6/0,4кВ</t>
  </si>
  <si>
    <t>ТП 13/4 10/0,4кВ</t>
  </si>
  <si>
    <t>ТП 13/5 10/0,4кВ</t>
  </si>
  <si>
    <t>ТП 13/6 10/0,4кВ</t>
  </si>
  <si>
    <t>ТП 13/7 10/0,4кВ</t>
  </si>
  <si>
    <t>ЦРП №1 6/0,4кВ</t>
  </si>
  <si>
    <t>КТП-400 10/0,4кВ Синега</t>
  </si>
  <si>
    <t>КТП-250 10/0,4кВ Синега</t>
  </si>
  <si>
    <t>аренда</t>
  </si>
  <si>
    <t>28.03.2015   29.03.2015</t>
  </si>
  <si>
    <t>Повреждение отходящей КЛ-0,4кВ</t>
  </si>
  <si>
    <t>Отключение КЛ-0,4кВ и восстановление питания</t>
  </si>
  <si>
    <t>Сильный ветер, гроза, поросль, повреждение изоляторов на опоре №61</t>
  </si>
  <si>
    <t>Обход линии, выпилка деревьев, замена изоляторов</t>
  </si>
  <si>
    <t>Отключение эл.энергии на питающем центре МУП "ГЭС"</t>
  </si>
  <si>
    <t>ВЛИ-0,4кВ №2  ТП 4/8 – РУ №2 (Гаражи)</t>
  </si>
  <si>
    <t>1,5 часа</t>
  </si>
  <si>
    <t>Отключение эл.энергии на питающем центре ПАО "МРСК Центра"</t>
  </si>
  <si>
    <t>05.06.2015   23.08.2015   25.10.2015   11.11.2015</t>
  </si>
  <si>
    <t>Отключение эл.энергии на питающем центре МУП "ГЭС"                                                   Отключение эл.энергии на питающем центре МУП "ГЭС"                                     Неисправность на коммутационном аппарате ф.9                                                    Неисправность на коммутационном аппарате ф.16</t>
  </si>
  <si>
    <t>0,5 часа                                                                                                                               1,5 часа                                                                                                                 1,5 часа     ремонт разъединителя                                                                                                                 1,5 часа    замена предохранителя и неподвижного контакта</t>
  </si>
  <si>
    <t>370                    0</t>
  </si>
  <si>
    <t>Сведения о техническом состоянии сетей за 4-и квартала 2015 года (по состоянию на 31.12.2015г.):</t>
  </si>
  <si>
    <t>КЛ-1 10кВ  ЦРП№13  (ф.№14) – ТП13/4</t>
  </si>
  <si>
    <t>КЛ-2 10кВ  ЦРП№13  (ф.№19) – ТП13/4</t>
  </si>
  <si>
    <t>ВЛИ-0,4кВ №3  РУ №2 (ТП 4/8) – «Гаражи (ССР)»</t>
  </si>
  <si>
    <t>ВЛЗ  10кВ  ПС «Сапфир» (ф.№16) – КТП 15/1, КТП "Ледовый каток"</t>
  </si>
  <si>
    <t>ТП 12/14 10/0,4 кВ</t>
  </si>
  <si>
    <t>КЗ на разъединителе 6кВ потребителя яч.№20</t>
  </si>
  <si>
    <t>КЗ на КЛ, повреждение КЛ в ходе земляных работ посторонней организацией</t>
  </si>
  <si>
    <t>0ч   Успешное АВР,  ремонт КЛ</t>
  </si>
  <si>
    <t>61ч   Ремонта РЛНД-6кВ</t>
  </si>
  <si>
    <t xml:space="preserve">КЗ на КЛ-10кВ на питающей ТП 14/3  МУП "ГЭС" </t>
  </si>
  <si>
    <t>1ч   Переключение на резервную КЛ</t>
  </si>
  <si>
    <t>18.04.2016   24.05.2016   05.07.2016</t>
  </si>
  <si>
    <t>Отключение ячейки на питающей ПС №16  МУП "ГЭС"                                         Отключение ячейки на питающей ПС №16  МУП "ГЭС"                                         Отключение ячейки на питающей ПС №16  МУП "ГЭС"</t>
  </si>
  <si>
    <t>2ч   Переключение на резервную КЛ                                                                      1ч   Переключение на резервную КЛ                                                                  1ч   Переключение на резервную КЛ</t>
  </si>
  <si>
    <t>18.04.2016   05.07.2016</t>
  </si>
  <si>
    <t>Отключение ячейки на питающей ПС №16  МУП "ГЭС"                                          Отключение ячейки на питающей ПС №16  МУП "ГЭС"</t>
  </si>
  <si>
    <t>280                    150                       150</t>
  </si>
  <si>
    <t>170                            90</t>
  </si>
  <si>
    <t>2ч   Переключение на резервную КЛ                                                               1ч   Переключение на резервную КЛ</t>
  </si>
  <si>
    <t>18.04.2016      26.05.2016           05.07.2016</t>
  </si>
  <si>
    <t>390                  200                   200</t>
  </si>
  <si>
    <t>05.07.2016    17.08.2016</t>
  </si>
  <si>
    <t>КЗ в баке трансформатора Т-1                                                                                                 Отключение питания на питающей ТП</t>
  </si>
  <si>
    <t>Перевод нагрузки на Т-2 через СВ-0,4кВ                                                       1ч. Восстановление питания</t>
  </si>
  <si>
    <t>140                         100</t>
  </si>
  <si>
    <t>Попадание воды в РУ-0,4кВ (сильный дождь)</t>
  </si>
  <si>
    <t>1,5ч Устранение течи крыши, Замена ПУ и АВ 0,4кВ</t>
  </si>
  <si>
    <t>Сведения о техническом состоянии сетей за 2016 год (по состоянию на 31.12.2016г.):</t>
  </si>
  <si>
    <t>09.12.2016       23.12.2016     29.12.2016</t>
  </si>
  <si>
    <t>Отключение на питающей подстанции ПС "Сапфир"                                                     Просадка напряжения  на питающей подстанции ПС "Сапфир"                                       Просадка напряжения  на питающей подстанции ПС "Сапфир"</t>
  </si>
  <si>
    <t>0                           0                                 0</t>
  </si>
  <si>
    <t>2000                           0                                 0</t>
  </si>
  <si>
    <t>8ч   Переключение на резервную КЛ                                                                      0ч   Восстановление напряжения на питающей ПС                                                                  0ч   Восстановление напряжения на питающей ПС</t>
  </si>
  <si>
    <t>0ч   Переключение на резервную КЛ                                                                      0ч   Восстановление напряжения на питающей ПС                                                                  0ч   Восстановление напряжения на питающей ПС</t>
  </si>
  <si>
    <t>29.05.2016       23.12.2016     29.12.2016</t>
  </si>
  <si>
    <t>11.02.2016      29.05.2016      18.07.2016    11.08.2016       23.12.2016     29.12.2016</t>
  </si>
  <si>
    <t xml:space="preserve">Штормовой ветер                                                                                                                           Просадка напряжения  на питающей подстанции ПС "Железногорская"                                       Просадка напряжения  на питающей подстанции ПС "Железногорская"  </t>
  </si>
  <si>
    <t xml:space="preserve">Штормовой ветер                                                                                                                                   Штормовой ветер                                                                                                                                   Штормовой ветер                                                                                                                                     Штормовой ветер                                                                                                                           Просадка напряжения  на питающей подстанции ПС "Железногорская"                                       Просадка напряжения  на питающей подстанции ПС "Железногорская"  </t>
  </si>
  <si>
    <t>0                           0                                0</t>
  </si>
  <si>
    <t>0                             4032                    0                            0                           0                               0</t>
  </si>
  <si>
    <t>0ч   Успешное АПВ. Внеочередной осмотр линии                                                                          0ч   Восстановление напряжения на питающей ПС                                                                  0ч   Восстановление напряжения на питающей ПС</t>
  </si>
  <si>
    <t>0ч   Успешное АПВ. Внеочередной осмотр линии.                            2,5ч АПВ не успешное. Внеочередной осмотр линии.                     0ч Вырубка аварийных деревьев в пролетах опор 30-33                       0ч Вырубка аварийных деревьев в пролетах опор 55-56                                                                                        0ч   Восстановление напряжения на питающей ПС                                                                  0ч   Восстановление напряжения на питающей ПС</t>
  </si>
  <si>
    <t>11.04.2017   08:50</t>
  </si>
  <si>
    <t>КЗ на  ШР-0,4кВ  в  РУ-0,4кВ (термическое разрушение)</t>
  </si>
  <si>
    <t>2ч  Замена ШР-0,4кВ  в  РУ-0,4кВ</t>
  </si>
  <si>
    <t>Отключение СШ-110 ПС "Железногорская"</t>
  </si>
  <si>
    <t>0ч АВР</t>
  </si>
  <si>
    <t>13.06.2017                 30.06.2017</t>
  </si>
  <si>
    <t>Отключение СШ-110 ПС "Железногорская"                                                                           Отключение ВЛ-110, ураганный ветер, АПВ не успешное</t>
  </si>
  <si>
    <t>Отключение ВЛ-110, ураганный ветер, АПВ не успешное</t>
  </si>
  <si>
    <t>0ч АВР                                                                                                                                    1ч Включение после осмотра линии</t>
  </si>
  <si>
    <t>2ч Включение после осмотра линии и переключения на ПС</t>
  </si>
  <si>
    <t>КТП 15/2  10/0,4кВ</t>
  </si>
  <si>
    <t>КТП 15/3  10/0,4кВ</t>
  </si>
  <si>
    <t>ВЛИ-0,4кВ КТП 15/3 ул.Сентюрева – «Блок гаражей»</t>
  </si>
  <si>
    <t>Отключение жилых домов</t>
  </si>
  <si>
    <t>1ч  Перезапитывание потребителей по резервной КЛ-0,4кВ</t>
  </si>
  <si>
    <t>11.04.2017   18:30</t>
  </si>
  <si>
    <t>600                     3800</t>
  </si>
  <si>
    <t>0                           3800</t>
  </si>
  <si>
    <t>25.10.2017   09:00</t>
  </si>
  <si>
    <t>2ч Устранение пробоя изоляции на КЛ-0,4кВ в ВРУ ж.д. потребителя</t>
  </si>
  <si>
    <t>Пробой изоляции на КЛ-0,4кВ в ВРУ ж.д. Потребителя</t>
  </si>
  <si>
    <t>11.11.2017   21:00                 18.11.2017   23:00</t>
  </si>
  <si>
    <t>Превышение допустимой нагрузки потребителями ф.№5                                                        Превышение допустимой нагрузки потребителями ф.№5</t>
  </si>
  <si>
    <t>200                          200</t>
  </si>
  <si>
    <t>1ч Замена предохранителей ф.№5                                                                                        1ч Замена предохранителей ф.№5</t>
  </si>
  <si>
    <t>09.05.2017   02:30               30.06.2017   22:30                 17.12.2017   14:30</t>
  </si>
  <si>
    <t>КЗ на отходящем ф.№12 (обрыв проводов)                                                                            Отключение ВВ №2, в связи с КЗ на ф.№12, №26                                                                КЗ на отходящем ф.№18 (КЗ в ТП потребителя)</t>
  </si>
  <si>
    <t>2ч Устранение обрыва нв ВЛ-6кВ потребителя                                             1ч Включение после осмотра  и переключения на ПС                                              92ч Устранение КЗ на ТП потребителя</t>
  </si>
  <si>
    <t>Сведения о техническом состоянии сетей за 2017 год (по состоянию на 31.12.2017г.):</t>
  </si>
  <si>
    <t>КТП 15/4  10/0,4кВ</t>
  </si>
  <si>
    <t>Успешное АПВ, осмотр линии и ПС</t>
  </si>
  <si>
    <t>29.03.2018  09:30</t>
  </si>
  <si>
    <t>Неисправность рубильника 0,4кВ</t>
  </si>
  <si>
    <t>Замена коммутационного аппарата, установка АВ-100А</t>
  </si>
  <si>
    <t>14.05.2018 07:50</t>
  </si>
  <si>
    <t>Не включение ВВ №1 0,4кВ</t>
  </si>
  <si>
    <t>Ремонт ВВ №1 0,4кВ</t>
  </si>
  <si>
    <t>Отключение ВЛ-110, ураганный ветер, АПВ  успешное</t>
  </si>
  <si>
    <t>12.05.2018  14:55</t>
  </si>
  <si>
    <t>01.03.2018  12:19                 01.03.2018  12:49                      01.03.2018  12:57                 12.05.2018  14:55</t>
  </si>
  <si>
    <t xml:space="preserve">Отключение ВЛ-110, ураганный ветер, АПВ  успешное                                                 Отключение ВЛ-110, ураганный ветер, АПВ  успешное                                                 Отключение ВЛ-110, ураганный ветер, АПВ  успешное                                                Отключение ВЛ-110, ураганный ветер, АПВ  не успешное </t>
  </si>
  <si>
    <t>0                                    0                                  0                                 3150</t>
  </si>
  <si>
    <t>Успешное АПВ, осмотр линии и ПС                                                                    Успешное АПВ, осмотр линии и ПС                                                                    Успешное АПВ, осмотр линии и ПС                                                                    2ч, осмотр линии и ПС</t>
  </si>
  <si>
    <t>3ч Ремонт ВЛИ-6кВ</t>
  </si>
  <si>
    <t>29.06.2018  17:15</t>
  </si>
  <si>
    <t>Разрушение опорных изоляторов на РЛНД-10кВ №6</t>
  </si>
  <si>
    <t>45 мин. Переподключение линии от резервного источника питания (через МУП "ГЭС")</t>
  </si>
  <si>
    <t>17.03.2018  23:00</t>
  </si>
  <si>
    <t>КЗ на САВ-0,4кВ в РУ-0,4кВ из-за протечки крыши</t>
  </si>
  <si>
    <t>2ч Демонтаж САВ, замена предохранителей</t>
  </si>
  <si>
    <t>ВЛИ-0,4кВ №1  КТП 15/4 – до ул.Мира (ГК "Синега")</t>
  </si>
  <si>
    <t>18.06.2018   10:30               16.07.2018   09:30</t>
  </si>
  <si>
    <t>яч.20 Обрыв провода на ВЛИ-6кВ потребителя                                                                         яч.12 Обрыв провода на ВЛ-6кВ потребителя, Упавшее дерево на КТП</t>
  </si>
  <si>
    <t>окт</t>
  </si>
  <si>
    <t>.                .               .              окт.</t>
  </si>
  <si>
    <t>ВЛИ-0,4кВ №2  КТП 15/4 – гаражи (ГК "Синега")</t>
  </si>
  <si>
    <t>КЗ на КЛ-6кВ</t>
  </si>
  <si>
    <t>1ч Переход на резервную КЛ</t>
  </si>
  <si>
    <t>Сведения о техническом состоянии сетей за 2018 год (по состоянию на 01.01.2019г.):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</si>
  <si>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</si>
  <si>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</si>
  <si>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ООО "Железногорская Сетевая Компания"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</si>
  <si>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</si>
  <si>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</si>
  <si>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</si>
  <si>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</si>
  <si>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</si>
  <si>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</si>
  <si>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</si>
  <si>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</si>
  <si>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</si>
  <si>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</si>
  <si>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</si>
  <si>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</si>
  <si>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</si>
  <si>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</si>
  <si>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</si>
  <si>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</si>
  <si>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</si>
  <si>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</si>
  <si>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</si>
  <si>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</si>
  <si>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</si>
  <si>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</si>
  <si>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</si>
  <si>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</si>
  <si>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</si>
  <si>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</si>
  <si>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</si>
  <si>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</si>
  <si>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</si>
  <si>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</si>
  <si>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</si>
  <si>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</si>
  <si>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</si>
  <si>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</si>
  <si>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</si>
  <si>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</si>
  <si>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ООО "Железногорская Сетевая Компания" РС</t>
  </si>
  <si>
    <t>ПС</t>
  </si>
  <si>
    <t>КЛ-6 ф.4 ПС Индустрия 110/6</t>
  </si>
  <si>
    <t>6 (6.3)</t>
  </si>
  <si>
    <t>09,11 2019.03.26</t>
  </si>
  <si>
    <t>11,00 2019.03.26</t>
  </si>
  <si>
    <t>В</t>
  </si>
  <si>
    <t>КЛ 6 (6.3) кВ ф.4 ПС Индустрия 110/6</t>
  </si>
  <si>
    <t>3.4.9</t>
  </si>
  <si>
    <t>4.21</t>
  </si>
  <si>
    <t>ВЛ</t>
  </si>
  <si>
    <t>ВЛЗ-10 2.13.16</t>
  </si>
  <si>
    <t>10 (10.5)</t>
  </si>
  <si>
    <t>16,41 2019.03.24</t>
  </si>
  <si>
    <t>11,36 2019.03.25</t>
  </si>
  <si>
    <t>А</t>
  </si>
  <si>
    <t>ТП 10 (10.5) кВ КТП 10 "Специализированный застройщик "ЖБИ-3</t>
  </si>
  <si>
    <t>3.4.9.3</t>
  </si>
  <si>
    <t>4.12</t>
  </si>
  <si>
    <t>11,55 2019.03.25</t>
  </si>
  <si>
    <t>12,50 2019.03.25</t>
  </si>
  <si>
    <t>ВЛ 10 (10.5) кВ ВЛЗ-10 2.13.16</t>
  </si>
  <si>
    <t>3.4.13.3</t>
  </si>
  <si>
    <t>4.14</t>
  </si>
  <si>
    <t>ПС Индустрия</t>
  </si>
  <si>
    <t>110</t>
  </si>
  <si>
    <t>10,05 2019.03.05</t>
  </si>
  <si>
    <t>11,33 2019.03.05</t>
  </si>
  <si>
    <t>КЛ 6 (6.3) кВ ЗРУ-6 кВ яч. 4</t>
  </si>
  <si>
    <t>КЛ</t>
  </si>
  <si>
    <t>КЛ-6 яч.18 ПС 46</t>
  </si>
  <si>
    <t>15,24 2019.04.06</t>
  </si>
  <si>
    <t>16,07 2019.04.06</t>
  </si>
  <si>
    <t>КЛ 6 (6.3) кВ ЦРП 1</t>
  </si>
  <si>
    <t>3.4.7.4</t>
  </si>
  <si>
    <t>12,23 2019.04.10</t>
  </si>
  <si>
    <t>14,17 2019.04.10</t>
  </si>
  <si>
    <t>КЛ 6 (6.3) кВ КЛ-6 ф.4 ПС Индустрия</t>
  </si>
  <si>
    <t>3.4.7.3</t>
  </si>
  <si>
    <t>4.13</t>
  </si>
  <si>
    <t>ВЛ-6 ф.20 ПС Индустрия 110/6</t>
  </si>
  <si>
    <t>09,45 2019.07.03</t>
  </si>
  <si>
    <t>19,40 2019.07.03</t>
  </si>
  <si>
    <t>ВЛ 6 (6.3) кВ ВЛ-6кВ ф.20 ПС Индустрия</t>
  </si>
  <si>
    <t>3.4.9.3,3.4.7.3</t>
  </si>
  <si>
    <t>4.14,4.13</t>
  </si>
  <si>
    <t>10,18 2019.07.07</t>
  </si>
  <si>
    <t>12,20 2019.07.07</t>
  </si>
  <si>
    <t>16,00 2019.07.07</t>
  </si>
  <si>
    <t>ВЛ 6 (6.3) кВ ВЛ-6кВ отпайка от ВЛ-6кВ ф.20 ПС Индустрия</t>
  </si>
  <si>
    <t>месяцы</t>
  </si>
  <si>
    <t>ТП</t>
  </si>
  <si>
    <t>ТП 12/16</t>
  </si>
  <si>
    <t>15,06 2019.09.18</t>
  </si>
  <si>
    <t>16,55 2019.09.18</t>
  </si>
  <si>
    <t>ТП 10 (10.5) кВ II СШ РУ-10кВ ТП 12/16</t>
  </si>
  <si>
    <t>3.4.9.1</t>
  </si>
  <si>
    <t>ТП 12/15</t>
  </si>
  <si>
    <t>ТП 10 (10.5) кВ II СШ РУ-10кВ ТП 12/15</t>
  </si>
  <si>
    <t>январь -</t>
  </si>
  <si>
    <t>КЛ-10 ф.2.13.21</t>
  </si>
  <si>
    <t>08,44 2019.10.18</t>
  </si>
  <si>
    <t>11,58 2019.10.18</t>
  </si>
  <si>
    <t>КЛ 10 (10.5) кВ КЛ-10 ф.2.13.21</t>
  </si>
  <si>
    <t>9 от 18.10.2019</t>
  </si>
  <si>
    <t>3.4.8.1</t>
  </si>
  <si>
    <t>КЛ-10 ф.2.13.4</t>
  </si>
  <si>
    <t>12,01 2019.10.18</t>
  </si>
  <si>
    <t>12,02 2019.10.18</t>
  </si>
  <si>
    <t>КЛ 10 (10.5) кВ КЛ-10 ф.2.13.4</t>
  </si>
  <si>
    <t>13 от 18.10.2019</t>
  </si>
  <si>
    <t>ТП 14/8</t>
  </si>
  <si>
    <t>0.38</t>
  </si>
  <si>
    <t>13,35 2019.10.18</t>
  </si>
  <si>
    <t>15,10 2019.10.18</t>
  </si>
  <si>
    <t>КЛ 0.38 кВ КЛ-0,4 ф.4, 6, 10, 12</t>
  </si>
  <si>
    <t>14 от 18.10.2019</t>
  </si>
  <si>
    <t>декабрь</t>
  </si>
  <si>
    <t>11,10 2020.02.25</t>
  </si>
  <si>
    <t>13,29 2020.02.25</t>
  </si>
  <si>
    <t>КЛ 6 (6.3) кВ ф.6 РП-6кВ ПС Индустрия</t>
  </si>
  <si>
    <t>3.4.14</t>
  </si>
  <si>
    <t>4.10</t>
  </si>
  <si>
    <t>12,00 2020.02.25</t>
  </si>
  <si>
    <t>12,01 2020.02.25</t>
  </si>
  <si>
    <t>РП 6 (6.3) кВ ЗРУ-6кВ Iсш</t>
  </si>
  <si>
    <t>12,12 2020.02.25</t>
  </si>
  <si>
    <t>12,48 2020.02.25</t>
  </si>
  <si>
    <t>ВЛ-6 ф.12 ПС Индустрия 110/6</t>
  </si>
  <si>
    <t>08,02 2020.03.27</t>
  </si>
  <si>
    <t>10,00 2020.03.27</t>
  </si>
  <si>
    <t>ВЛ 6 (6.3) кВ</t>
  </si>
  <si>
    <t>3.4.8.4</t>
  </si>
  <si>
    <t>КЛ-6 ф.23 ПС Индустрия 110/6</t>
  </si>
  <si>
    <t>12,23 2020.03.27</t>
  </si>
  <si>
    <t>16,14 2020.03.27</t>
  </si>
  <si>
    <t>КЛ 6 (6.3) кВ</t>
  </si>
  <si>
    <t>5 2020-03-27</t>
  </si>
  <si>
    <t>ВЛ-110 Индустрия-2</t>
  </si>
  <si>
    <t>22,04 2020.04.16</t>
  </si>
  <si>
    <t>ВЛ 110 кВ ВЛ-110 Индустрия-2</t>
  </si>
  <si>
    <t>3.4.11</t>
  </si>
  <si>
    <t>ВЛ-110 Индустрия-1</t>
  </si>
  <si>
    <t>23,08 2020.04.16</t>
  </si>
  <si>
    <t>ВЛ 110 кВ ВЛ-110 Индустрия-1</t>
  </si>
  <si>
    <t>ООО "Железногорская Сетевая Компания" Ремонтная служба</t>
  </si>
  <si>
    <t>ВЛ-0,4кВ ф.3 РП №1 КТП 15/4</t>
  </si>
  <si>
    <t>07,24 2020.06.25</t>
  </si>
  <si>
    <t>08,15 2020.06.25</t>
  </si>
  <si>
    <t>0.85</t>
  </si>
  <si>
    <t>ВЛ 0.38 кВ ВЛ-0,4кВ ф.3 РП №1 КТП 15/4</t>
  </si>
  <si>
    <t>9 2020-08-25</t>
  </si>
  <si>
    <t>КЛ-6 ф.18 ПС Индустрия 110/6</t>
  </si>
  <si>
    <t>08,41 2020.06.22</t>
  </si>
  <si>
    <t>10,56 2020.06.22</t>
  </si>
  <si>
    <t>КЛ 6 (6.3) кВ КЛ-6 ф.18 ПС Индустрия 110/6</t>
  </si>
  <si>
    <t>8 от 22.06.2020</t>
  </si>
  <si>
    <t>17,51 2020.07.04</t>
  </si>
  <si>
    <t>РП</t>
  </si>
  <si>
    <t>РП №1 ВЛИ №2 КТП 15/4</t>
  </si>
  <si>
    <t>07,55 2020.10.30</t>
  </si>
  <si>
    <t>08,30 2020.10.30</t>
  </si>
  <si>
    <t>ВЛ 0.38 кВ</t>
  </si>
  <si>
    <t>11 2020-10-30</t>
  </si>
  <si>
    <t>04,45 2020.11.05</t>
  </si>
  <si>
    <t>08,50 2020.11.24</t>
  </si>
  <si>
    <t>ВЛ 6 (6.3) кВ ВЛ-6кВ ф.12 ПС "Индустрия</t>
  </si>
  <si>
    <t>11 2020-11-24</t>
  </si>
  <si>
    <t>4.4</t>
  </si>
  <si>
    <t>КЛ-0,4кВ ф.25 ТП 13/6</t>
  </si>
  <si>
    <t>08,05 2020.11.24</t>
  </si>
  <si>
    <t>09,30 2020.11.24</t>
  </si>
  <si>
    <t>КЛ 0.38 кВ ф.25 ТП 13/6</t>
  </si>
  <si>
    <t>13 2020-11-24</t>
  </si>
  <si>
    <t>КЛ-10кВ ТП13/5 - ТП 13/7</t>
  </si>
  <si>
    <t>10,05 2020.11.30</t>
  </si>
  <si>
    <t>10,45 2020.11.30</t>
  </si>
  <si>
    <t>КЛ 10 (10.5) кВ ТП13/5 - ТП 13/7</t>
  </si>
  <si>
    <t>14 2020-11-30</t>
  </si>
  <si>
    <t>ТП 13/7</t>
  </si>
  <si>
    <t>04,50 2020.12.30</t>
  </si>
  <si>
    <t>09,00 2020.12.30</t>
  </si>
  <si>
    <t>КЛ 0.38 кВ ф.15;КЛ 0.38 кВ ф.16;КЛ 0.38 кВ ф.17;КЛ 0.38 кВ ф.18</t>
  </si>
  <si>
    <t>15 2020-12-30</t>
  </si>
  <si>
    <t>4.3</t>
  </si>
  <si>
    <t>08,36 2021.04.08</t>
  </si>
  <si>
    <t>09,51 2021.04.08</t>
  </si>
  <si>
    <t>КЛ 0.38 кВ ф.13</t>
  </si>
  <si>
    <t>№1 2021-04-08</t>
  </si>
  <si>
    <t>05,40 2021.05.13</t>
  </si>
  <si>
    <t>05,41 2021.05.13</t>
  </si>
  <si>
    <t>05,30 2021.05.17</t>
  </si>
  <si>
    <t>08,05 2021.05.17</t>
  </si>
  <si>
    <t>КЛ 0.38 кВ КЛ-0,4кВ ф.25 (Детский сад)</t>
  </si>
  <si>
    <t>4.11</t>
  </si>
  <si>
    <t>КЛ-0,4кВ ф.1 ТП 4/8</t>
  </si>
  <si>
    <t>08,05 2021.05.31</t>
  </si>
  <si>
    <t>08,50 2021.05.31</t>
  </si>
  <si>
    <t>КЛ 0.38 кВ ф.1 ТП 4/8</t>
  </si>
  <si>
    <t>№4 2021-05-31</t>
  </si>
  <si>
    <t>№2 от 13-05-2021</t>
  </si>
  <si>
    <t>№3 2021-05-17</t>
  </si>
  <si>
    <t>август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</si>
</sst>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8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10" xfId="5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0" fontId="7" fillId="0" borderId="10" xfId="55" applyNumberFormat="1" applyFont="1" applyBorder="1" applyAlignment="1">
      <alignment horizontal="center" vertical="center" wrapText="1"/>
    </xf>
    <xf numFmtId="1" fontId="1" fillId="0" borderId="10" xfId="55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34" borderId="10" xfId="55" applyNumberFormat="1" applyFont="1" applyFill="1" applyBorder="1" applyAlignment="1">
      <alignment horizontal="center" vertical="center" wrapText="1"/>
    </xf>
    <xf numFmtId="1" fontId="1" fillId="0" borderId="10" xfId="55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50" fillId="0" borderId="0" xfId="0" applyFont="1" applyFill="1" applyAlignment="1">
      <alignment horizontal="center" vertical="top"/>
    </xf>
    <xf numFmtId="0" fontId="0" fillId="0" borderId="13" xfId="0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0" xfId="0" applyFill="1" applyAlignment="1" applyProtection="1">
      <alignment horizontal="left" vertical="top" wrapText="1"/>
      <protection/>
    </xf>
    <xf numFmtId="0" fontId="10" fillId="0" borderId="0" xfId="0" applyFont="1" applyFill="1" applyAlignment="1" applyProtection="1">
      <alignment horizontal="left" vertical="top" wrapText="1"/>
      <protection/>
    </xf>
    <xf numFmtId="0" fontId="0" fillId="0" borderId="16" xfId="0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7" xfId="0" applyFill="1" applyBorder="1" applyAlignment="1" applyProtection="1">
      <alignment horizontal="left" vertical="top" wrapText="1"/>
      <protection/>
    </xf>
    <xf numFmtId="0" fontId="0" fillId="35" borderId="18" xfId="0" applyFont="1" applyFill="1" applyBorder="1" applyAlignment="1">
      <alignment horizontal="left" vertical="center" wrapText="1"/>
    </xf>
    <xf numFmtId="0" fontId="0" fillId="0" borderId="19" xfId="0" applyFill="1" applyBorder="1" applyAlignment="1" applyProtection="1">
      <alignment horizontal="left" vertical="top" wrapText="1"/>
      <protection/>
    </xf>
    <xf numFmtId="2" fontId="0" fillId="35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5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70" zoomScaleNormal="70" zoomScalePageLayoutView="0" workbookViewId="0" topLeftCell="A1">
      <selection activeCell="R11" sqref="R11"/>
    </sheetView>
  </sheetViews>
  <sheetFormatPr defaultColWidth="9.140625" defaultRowHeight="12.75"/>
  <cols>
    <col min="1" max="1" width="9.140625" style="26" customWidth="1"/>
    <col min="2" max="2" width="18.28125" style="26" customWidth="1"/>
    <col min="3" max="5" width="9.140625" style="26" customWidth="1"/>
    <col min="6" max="6" width="18.28125" style="26" customWidth="1"/>
    <col min="7" max="7" width="16.140625" style="26" customWidth="1"/>
    <col min="8" max="9" width="9.140625" style="26" customWidth="1"/>
    <col min="10" max="16384" width="9.140625" style="24" customWidth="1"/>
  </cols>
  <sheetData>
    <row r="1" spans="1:17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9" ht="13.5">
      <c r="A2" s="24" t="s">
        <v>255</v>
      </c>
      <c r="B2" s="24"/>
      <c r="C2" s="24"/>
      <c r="D2" s="24"/>
      <c r="E2" s="24"/>
      <c r="F2" s="24"/>
      <c r="G2" s="24"/>
      <c r="H2" s="24"/>
      <c r="I2" s="24"/>
      <c r="P2" s="24" t="s">
        <v>353</v>
      </c>
      <c r="Q2" s="32" t="s">
        <v>456</v>
      </c>
      <c r="R2" s="26" t="s">
        <v>344</v>
      </c>
      <c r="S2" s="25">
        <v>2021</v>
      </c>
      <c r="T2" s="24" t="s">
        <v>256</v>
      </c>
      <c r="Y2" s="27"/>
      <c r="Z2" s="27"/>
      <c r="AA2" s="27"/>
      <c r="AB2" s="27"/>
      <c r="AC2" s="27"/>
    </row>
    <row r="3" spans="1:29" ht="12.75">
      <c r="A3" s="48" t="s">
        <v>257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Y3" s="27"/>
      <c r="Z3" s="27"/>
      <c r="AA3" s="27"/>
      <c r="AB3" s="27"/>
      <c r="AC3" s="27"/>
    </row>
    <row r="4" spans="1:29" ht="14.25">
      <c r="A4" s="49" t="s">
        <v>258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21"/>
      <c r="X4" s="21"/>
      <c r="Y4" s="21"/>
      <c r="Z4" s="21"/>
      <c r="AA4" s="21"/>
      <c r="AB4" s="21"/>
      <c r="AC4" s="21"/>
    </row>
    <row r="5" spans="1:29" s="26" customFormat="1" ht="27.75" customHeight="1" thickBot="1">
      <c r="A5" s="28"/>
      <c r="B5" s="28"/>
      <c r="C5" s="28"/>
      <c r="D5" s="28"/>
      <c r="E5" s="28"/>
      <c r="F5" s="2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  <c r="V5" s="24"/>
      <c r="W5" s="24"/>
      <c r="X5" s="24"/>
      <c r="Y5" s="24"/>
      <c r="Z5" s="24"/>
      <c r="AA5" s="24"/>
      <c r="AB5" s="24"/>
      <c r="AC5" s="24"/>
    </row>
    <row r="6" spans="1:29" ht="32.25" customHeight="1" thickBot="1">
      <c r="A6" s="51" t="s">
        <v>259</v>
      </c>
      <c r="B6" s="52"/>
      <c r="C6" s="52"/>
      <c r="D6" s="52"/>
      <c r="E6" s="52"/>
      <c r="F6" s="52"/>
      <c r="G6" s="52"/>
      <c r="H6" s="52"/>
      <c r="I6" s="53"/>
      <c r="J6" s="54" t="s">
        <v>260</v>
      </c>
      <c r="K6" s="45" t="s">
        <v>261</v>
      </c>
      <c r="L6" s="52" t="s">
        <v>262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45" t="s">
        <v>263</v>
      </c>
      <c r="Z6" s="56" t="s">
        <v>264</v>
      </c>
      <c r="AA6" s="57"/>
      <c r="AB6" s="58"/>
      <c r="AC6" s="43" t="s">
        <v>265</v>
      </c>
    </row>
    <row r="7" spans="1:29" ht="171.75" customHeight="1" thickBot="1">
      <c r="A7" s="45" t="s">
        <v>266</v>
      </c>
      <c r="B7" s="45" t="s">
        <v>267</v>
      </c>
      <c r="C7" s="45" t="s">
        <v>268</v>
      </c>
      <c r="D7" s="45" t="s">
        <v>269</v>
      </c>
      <c r="E7" s="45" t="s">
        <v>270</v>
      </c>
      <c r="F7" s="45" t="s">
        <v>271</v>
      </c>
      <c r="G7" s="45" t="s">
        <v>272</v>
      </c>
      <c r="H7" s="45" t="s">
        <v>273</v>
      </c>
      <c r="I7" s="45" t="s">
        <v>274</v>
      </c>
      <c r="J7" s="55"/>
      <c r="K7" s="46"/>
      <c r="L7" s="43" t="s">
        <v>275</v>
      </c>
      <c r="M7" s="45" t="s">
        <v>276</v>
      </c>
      <c r="N7" s="45" t="s">
        <v>277</v>
      </c>
      <c r="O7" s="51" t="s">
        <v>278</v>
      </c>
      <c r="P7" s="52"/>
      <c r="Q7" s="52"/>
      <c r="R7" s="52"/>
      <c r="S7" s="52"/>
      <c r="T7" s="52"/>
      <c r="U7" s="52"/>
      <c r="V7" s="52"/>
      <c r="W7" s="53"/>
      <c r="X7" s="45" t="s">
        <v>279</v>
      </c>
      <c r="Y7" s="46"/>
      <c r="Z7" s="59"/>
      <c r="AA7" s="60"/>
      <c r="AB7" s="61"/>
      <c r="AC7" s="44"/>
    </row>
    <row r="8" spans="1:29" ht="63.75" customHeight="1" thickBot="1">
      <c r="A8" s="46"/>
      <c r="B8" s="46"/>
      <c r="C8" s="46"/>
      <c r="D8" s="46"/>
      <c r="E8" s="46"/>
      <c r="F8" s="46"/>
      <c r="G8" s="46"/>
      <c r="H8" s="46"/>
      <c r="I8" s="46"/>
      <c r="J8" s="55"/>
      <c r="K8" s="46"/>
      <c r="L8" s="44"/>
      <c r="M8" s="46"/>
      <c r="N8" s="46"/>
      <c r="O8" s="45" t="s">
        <v>280</v>
      </c>
      <c r="P8" s="51" t="s">
        <v>281</v>
      </c>
      <c r="Q8" s="52"/>
      <c r="R8" s="53"/>
      <c r="S8" s="51" t="s">
        <v>282</v>
      </c>
      <c r="T8" s="52"/>
      <c r="U8" s="52"/>
      <c r="V8" s="53"/>
      <c r="W8" s="45" t="s">
        <v>283</v>
      </c>
      <c r="X8" s="46"/>
      <c r="Y8" s="46"/>
      <c r="Z8" s="45" t="s">
        <v>284</v>
      </c>
      <c r="AA8" s="45" t="s">
        <v>285</v>
      </c>
      <c r="AB8" s="45" t="s">
        <v>286</v>
      </c>
      <c r="AC8" s="44"/>
    </row>
    <row r="9" spans="1:29" ht="71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55"/>
      <c r="K9" s="46"/>
      <c r="L9" s="44"/>
      <c r="M9" s="46"/>
      <c r="N9" s="46"/>
      <c r="O9" s="46"/>
      <c r="P9" s="42" t="s">
        <v>287</v>
      </c>
      <c r="Q9" s="42" t="s">
        <v>288</v>
      </c>
      <c r="R9" s="42" t="s">
        <v>289</v>
      </c>
      <c r="S9" s="42" t="s">
        <v>290</v>
      </c>
      <c r="T9" s="42" t="s">
        <v>291</v>
      </c>
      <c r="U9" s="42" t="s">
        <v>292</v>
      </c>
      <c r="V9" s="42" t="s">
        <v>293</v>
      </c>
      <c r="W9" s="46"/>
      <c r="X9" s="46"/>
      <c r="Y9" s="46"/>
      <c r="Z9" s="46"/>
      <c r="AA9" s="46"/>
      <c r="AB9" s="46"/>
      <c r="AC9" s="44"/>
    </row>
    <row r="10" spans="1:29" ht="17.25" customHeight="1" thickBo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  <c r="AB10" s="30">
        <v>28</v>
      </c>
      <c r="AC10" s="30">
        <v>29</v>
      </c>
    </row>
    <row r="11" spans="1:29" ht="72" customHeight="1">
      <c r="A11" s="31">
        <v>1</v>
      </c>
      <c r="B11" s="31" t="s">
        <v>294</v>
      </c>
      <c r="C11" s="31" t="s">
        <v>345</v>
      </c>
      <c r="D11" s="31" t="s">
        <v>351</v>
      </c>
      <c r="E11" s="31" t="s">
        <v>306</v>
      </c>
      <c r="F11" s="31" t="s">
        <v>439</v>
      </c>
      <c r="G11" s="31" t="s">
        <v>440</v>
      </c>
      <c r="H11" s="31" t="s">
        <v>300</v>
      </c>
      <c r="I11" s="31">
        <v>1.25</v>
      </c>
      <c r="J11" s="31">
        <v>2</v>
      </c>
      <c r="K11" s="31">
        <v>2</v>
      </c>
      <c r="L11" s="31" t="s">
        <v>441</v>
      </c>
      <c r="M11" s="31">
        <v>0</v>
      </c>
      <c r="N11" s="31">
        <v>0</v>
      </c>
      <c r="O11" s="31">
        <v>1</v>
      </c>
      <c r="P11" s="31">
        <v>0</v>
      </c>
      <c r="Q11" s="31">
        <v>0</v>
      </c>
      <c r="R11" s="31">
        <v>1</v>
      </c>
      <c r="S11" s="31">
        <v>0</v>
      </c>
      <c r="T11" s="31">
        <v>0</v>
      </c>
      <c r="U11" s="31">
        <v>0</v>
      </c>
      <c r="V11" s="31">
        <v>1</v>
      </c>
      <c r="W11" s="31">
        <v>0</v>
      </c>
      <c r="X11" s="31">
        <v>70</v>
      </c>
      <c r="Y11" s="31"/>
      <c r="Z11" s="31" t="s">
        <v>442</v>
      </c>
      <c r="AA11" s="31" t="s">
        <v>302</v>
      </c>
      <c r="AB11" s="31" t="s">
        <v>303</v>
      </c>
      <c r="AC11" s="31">
        <v>1</v>
      </c>
    </row>
    <row r="12" spans="1:29" ht="72" customHeight="1">
      <c r="A12" s="31">
        <v>2</v>
      </c>
      <c r="B12" s="31" t="s">
        <v>294</v>
      </c>
      <c r="C12" s="31" t="s">
        <v>323</v>
      </c>
      <c r="D12" s="31" t="s">
        <v>360</v>
      </c>
      <c r="E12" s="31" t="s">
        <v>306</v>
      </c>
      <c r="F12" s="31" t="s">
        <v>443</v>
      </c>
      <c r="G12" s="31" t="s">
        <v>444</v>
      </c>
      <c r="H12" s="31" t="s">
        <v>300</v>
      </c>
      <c r="I12" s="31">
        <v>0.02</v>
      </c>
      <c r="J12" s="31">
        <v>2</v>
      </c>
      <c r="K12" s="31">
        <v>1</v>
      </c>
      <c r="L12" s="31" t="s">
        <v>363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/>
      <c r="Z12" s="31" t="s">
        <v>454</v>
      </c>
      <c r="AA12" s="31"/>
      <c r="AB12" s="31"/>
      <c r="AC12" s="31">
        <v>1</v>
      </c>
    </row>
    <row r="13" spans="1:29" ht="72" customHeight="1">
      <c r="A13" s="31">
        <v>3</v>
      </c>
      <c r="B13" s="31" t="s">
        <v>294</v>
      </c>
      <c r="C13" s="31" t="s">
        <v>323</v>
      </c>
      <c r="D13" s="31" t="s">
        <v>423</v>
      </c>
      <c r="E13" s="31" t="s">
        <v>366</v>
      </c>
      <c r="F13" s="31" t="s">
        <v>445</v>
      </c>
      <c r="G13" s="31" t="s">
        <v>446</v>
      </c>
      <c r="H13" s="31" t="s">
        <v>300</v>
      </c>
      <c r="I13" s="31">
        <v>2.58</v>
      </c>
      <c r="J13" s="31">
        <v>2</v>
      </c>
      <c r="K13" s="31">
        <v>2</v>
      </c>
      <c r="L13" s="31" t="s">
        <v>447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  <c r="R13" s="31">
        <v>1</v>
      </c>
      <c r="S13" s="31">
        <v>0</v>
      </c>
      <c r="T13" s="31">
        <v>0</v>
      </c>
      <c r="U13" s="31">
        <v>0</v>
      </c>
      <c r="V13" s="31">
        <v>1</v>
      </c>
      <c r="W13" s="31">
        <v>0</v>
      </c>
      <c r="X13" s="31">
        <v>250</v>
      </c>
      <c r="Y13" s="31"/>
      <c r="Z13" s="31" t="s">
        <v>455</v>
      </c>
      <c r="AA13" s="31" t="s">
        <v>311</v>
      </c>
      <c r="AB13" s="31" t="s">
        <v>448</v>
      </c>
      <c r="AC13" s="31">
        <v>1</v>
      </c>
    </row>
    <row r="14" spans="1:31" s="35" customFormat="1" ht="72" customHeight="1">
      <c r="A14" s="31">
        <v>4</v>
      </c>
      <c r="B14" s="31" t="s">
        <v>294</v>
      </c>
      <c r="C14" s="31" t="s">
        <v>323</v>
      </c>
      <c r="D14" s="31" t="s">
        <v>449</v>
      </c>
      <c r="E14" s="31" t="s">
        <v>366</v>
      </c>
      <c r="F14" s="31" t="s">
        <v>450</v>
      </c>
      <c r="G14" s="31" t="s">
        <v>451</v>
      </c>
      <c r="H14" s="31" t="s">
        <v>300</v>
      </c>
      <c r="I14" s="31">
        <v>0.75</v>
      </c>
      <c r="J14" s="31">
        <v>2</v>
      </c>
      <c r="K14" s="31">
        <v>2</v>
      </c>
      <c r="L14" s="31" t="s">
        <v>452</v>
      </c>
      <c r="M14" s="31">
        <v>0</v>
      </c>
      <c r="N14" s="31">
        <v>0</v>
      </c>
      <c r="O14" s="31">
        <v>1</v>
      </c>
      <c r="P14" s="31">
        <v>0</v>
      </c>
      <c r="Q14" s="31">
        <v>0</v>
      </c>
      <c r="R14" s="31">
        <v>1</v>
      </c>
      <c r="S14" s="31">
        <v>0</v>
      </c>
      <c r="T14" s="31">
        <v>0</v>
      </c>
      <c r="U14" s="31">
        <v>0</v>
      </c>
      <c r="V14" s="31">
        <v>1</v>
      </c>
      <c r="W14" s="31">
        <v>0</v>
      </c>
      <c r="X14" s="31">
        <v>100</v>
      </c>
      <c r="Y14" s="31"/>
      <c r="Z14" s="31" t="s">
        <v>453</v>
      </c>
      <c r="AA14" s="31" t="s">
        <v>311</v>
      </c>
      <c r="AB14" s="31" t="s">
        <v>312</v>
      </c>
      <c r="AC14" s="31">
        <v>1</v>
      </c>
      <c r="AD14" s="34"/>
      <c r="AE14" s="34"/>
    </row>
    <row r="15" spans="1:31" s="35" customFormat="1" ht="72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34"/>
      <c r="AE15" s="34"/>
    </row>
    <row r="16" spans="1:29" ht="72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72" customHeight="1">
      <c r="A17" s="2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72" customHeight="1">
      <c r="A18" s="36"/>
      <c r="B18" s="37"/>
      <c r="C18" s="37"/>
      <c r="D18" s="37"/>
      <c r="E18" s="37"/>
      <c r="F18" s="37"/>
      <c r="G18" s="37"/>
      <c r="H18" s="37"/>
      <c r="I18" s="4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8"/>
      <c r="AC18" s="37"/>
    </row>
    <row r="19" spans="1:29" ht="72" customHeight="1">
      <c r="A19" s="3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39"/>
    </row>
    <row r="20" spans="1:29" s="20" customFormat="1" ht="72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20" customFormat="1" ht="72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20" customFormat="1" ht="71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0" customFormat="1" ht="71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0" customFormat="1" ht="71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</sheetData>
  <sheetProtection/>
  <mergeCells count="31">
    <mergeCell ref="S8:V8"/>
    <mergeCell ref="F7:F9"/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I7:I9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L7:L9"/>
    <mergeCell ref="G7:G9"/>
    <mergeCell ref="A1:Q1"/>
    <mergeCell ref="A3:V3"/>
    <mergeCell ref="A4:V4"/>
    <mergeCell ref="A6:I6"/>
    <mergeCell ref="J6:J9"/>
    <mergeCell ref="K6:K9"/>
    <mergeCell ref="L6:X6"/>
    <mergeCell ref="H7:H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11.57421875" style="1" customWidth="1"/>
    <col min="4" max="4" width="14.7109375" style="1" customWidth="1"/>
    <col min="5" max="5" width="12.7109375" style="1" customWidth="1"/>
    <col min="6" max="6" width="58.00390625" style="1" customWidth="1"/>
    <col min="7" max="7" width="12.57421875" style="1" customWidth="1"/>
    <col min="8" max="8" width="49.8515625" style="1" customWidth="1"/>
    <col min="9" max="16384" width="9.140625" style="1" customWidth="1"/>
  </cols>
  <sheetData>
    <row r="1" spans="1:8" ht="21" customHeight="1">
      <c r="A1" s="66" t="s">
        <v>63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92.25" customHeight="1">
      <c r="A6" s="2">
        <v>1</v>
      </c>
      <c r="B6" s="3" t="s">
        <v>5</v>
      </c>
      <c r="C6" s="6">
        <f>(41+$C$51)/60</f>
        <v>0.8833333333333333</v>
      </c>
      <c r="D6" s="9">
        <v>7</v>
      </c>
      <c r="E6" s="11" t="s">
        <v>64</v>
      </c>
      <c r="F6" s="12" t="s">
        <v>65</v>
      </c>
      <c r="G6" s="4" t="s">
        <v>66</v>
      </c>
      <c r="H6" s="12" t="s">
        <v>67</v>
      </c>
    </row>
    <row r="7" spans="1:8" ht="28.5" customHeight="1">
      <c r="A7" s="2">
        <v>2</v>
      </c>
      <c r="B7" s="3" t="s">
        <v>51</v>
      </c>
      <c r="C7" s="4" t="s">
        <v>54</v>
      </c>
      <c r="D7" s="10">
        <v>1</v>
      </c>
      <c r="E7" s="11">
        <v>41114</v>
      </c>
      <c r="F7" s="12" t="s">
        <v>68</v>
      </c>
      <c r="G7" s="4">
        <v>420</v>
      </c>
      <c r="H7" s="12" t="s">
        <v>69</v>
      </c>
    </row>
    <row r="8" spans="1:8" ht="15.75" customHeight="1">
      <c r="A8" s="2">
        <v>3</v>
      </c>
      <c r="B8" s="3" t="s">
        <v>6</v>
      </c>
      <c r="C8" s="6">
        <f>(34+$C$51)/276</f>
        <v>0.16666666666666666</v>
      </c>
      <c r="D8" s="9"/>
      <c r="E8" s="11"/>
      <c r="F8" s="12"/>
      <c r="G8" s="4">
        <v>0</v>
      </c>
      <c r="H8" s="12"/>
    </row>
    <row r="9" spans="1:8" ht="28.5" customHeight="1">
      <c r="A9" s="2">
        <v>4</v>
      </c>
      <c r="B9" s="3" t="s">
        <v>7</v>
      </c>
      <c r="C9" s="6">
        <f>(36+$C$51)/288</f>
        <v>0.16666666666666666</v>
      </c>
      <c r="D9" s="9"/>
      <c r="E9" s="4"/>
      <c r="F9" s="12"/>
      <c r="G9" s="4">
        <v>0</v>
      </c>
      <c r="H9" s="12"/>
    </row>
    <row r="10" spans="1:8" ht="45" customHeight="1">
      <c r="A10" s="2">
        <v>5</v>
      </c>
      <c r="B10" s="3" t="s">
        <v>8</v>
      </c>
      <c r="C10" s="6">
        <f>(41+$C$51)/312</f>
        <v>0.16987179487179488</v>
      </c>
      <c r="D10" s="9">
        <v>3</v>
      </c>
      <c r="E10" s="11" t="s">
        <v>70</v>
      </c>
      <c r="F10" s="12" t="s">
        <v>71</v>
      </c>
      <c r="G10" s="4" t="s">
        <v>72</v>
      </c>
      <c r="H10" s="12" t="s">
        <v>73</v>
      </c>
    </row>
    <row r="11" spans="1:8" ht="15.75" customHeight="1">
      <c r="A11" s="2">
        <v>6</v>
      </c>
      <c r="B11" s="3" t="s">
        <v>9</v>
      </c>
      <c r="C11" s="6">
        <f>(44+$C$51)/420</f>
        <v>0.13333333333333333</v>
      </c>
      <c r="D11" s="9"/>
      <c r="E11" s="4"/>
      <c r="F11" s="12"/>
      <c r="G11" s="4">
        <v>0</v>
      </c>
      <c r="H11" s="12"/>
    </row>
    <row r="12" spans="1:8" ht="42" customHeight="1">
      <c r="A12" s="2">
        <v>7</v>
      </c>
      <c r="B12" s="3" t="s">
        <v>10</v>
      </c>
      <c r="C12" s="6">
        <f>(44+$C$51)/420</f>
        <v>0.13333333333333333</v>
      </c>
      <c r="D12" s="9">
        <v>3</v>
      </c>
      <c r="E12" s="11" t="s">
        <v>74</v>
      </c>
      <c r="F12" s="12" t="s">
        <v>75</v>
      </c>
      <c r="G12" s="4" t="s">
        <v>76</v>
      </c>
      <c r="H12" s="12" t="s">
        <v>77</v>
      </c>
    </row>
    <row r="13" spans="1:8" ht="18.75" customHeight="1">
      <c r="A13" s="2">
        <v>8</v>
      </c>
      <c r="B13" s="3" t="s">
        <v>50</v>
      </c>
      <c r="C13" s="8">
        <f>(12+$C$51)/300</f>
        <v>0.08</v>
      </c>
      <c r="D13" s="9"/>
      <c r="E13" s="4"/>
      <c r="F13" s="12"/>
      <c r="G13" s="4">
        <v>0</v>
      </c>
      <c r="H13" s="12"/>
    </row>
    <row r="14" spans="1:8" ht="18.75" customHeight="1">
      <c r="A14" s="2"/>
      <c r="B14" s="3" t="s">
        <v>57</v>
      </c>
      <c r="C14" s="6">
        <f>(6+$C$51)/180</f>
        <v>0.1</v>
      </c>
      <c r="D14" s="9"/>
      <c r="E14" s="4"/>
      <c r="F14" s="12"/>
      <c r="G14" s="4">
        <v>0</v>
      </c>
      <c r="H14" s="12"/>
    </row>
    <row r="15" spans="1:8" ht="15.75" customHeight="1">
      <c r="A15" s="2">
        <v>9</v>
      </c>
      <c r="B15" s="3" t="s">
        <v>11</v>
      </c>
      <c r="C15" s="6">
        <f>(24+$C$51)/240</f>
        <v>0.15</v>
      </c>
      <c r="D15" s="9"/>
      <c r="E15" s="4"/>
      <c r="F15" s="12"/>
      <c r="G15" s="4">
        <v>0</v>
      </c>
      <c r="H15" s="12"/>
    </row>
    <row r="16" spans="1:8" ht="15.75" customHeight="1">
      <c r="A16" s="2">
        <v>10</v>
      </c>
      <c r="B16" s="3" t="s">
        <v>12</v>
      </c>
      <c r="C16" s="6">
        <f>(33+$C$51)/300</f>
        <v>0.15</v>
      </c>
      <c r="D16" s="9"/>
      <c r="E16" s="4"/>
      <c r="F16" s="12"/>
      <c r="G16" s="4">
        <v>0</v>
      </c>
      <c r="H16" s="12"/>
    </row>
    <row r="17" spans="1:8" ht="26.25" customHeight="1">
      <c r="A17" s="2">
        <v>11</v>
      </c>
      <c r="B17" s="3" t="s">
        <v>45</v>
      </c>
      <c r="C17" s="6">
        <f>(12+$C$51)/300</f>
        <v>0.08</v>
      </c>
      <c r="D17" s="9">
        <v>1</v>
      </c>
      <c r="E17" s="11">
        <v>41243</v>
      </c>
      <c r="F17" s="12" t="s">
        <v>78</v>
      </c>
      <c r="G17" s="4">
        <v>130</v>
      </c>
      <c r="H17" s="12" t="s">
        <v>79</v>
      </c>
    </row>
    <row r="18" spans="1:8" ht="15.75" customHeight="1">
      <c r="A18" s="2">
        <v>12</v>
      </c>
      <c r="B18" s="3" t="s">
        <v>13</v>
      </c>
      <c r="C18" s="6">
        <f>(27+$C$51)/150</f>
        <v>0.26</v>
      </c>
      <c r="D18" s="9"/>
      <c r="E18" s="11"/>
      <c r="F18" s="12"/>
      <c r="G18" s="4">
        <v>0</v>
      </c>
      <c r="H18" s="12"/>
    </row>
    <row r="19" spans="1:8" ht="15.75" customHeight="1">
      <c r="A19" s="2">
        <v>13</v>
      </c>
      <c r="B19" s="3" t="s">
        <v>14</v>
      </c>
      <c r="C19" s="6">
        <f>(28+$C$51)/300</f>
        <v>0.13333333333333333</v>
      </c>
      <c r="D19" s="9">
        <v>1</v>
      </c>
      <c r="E19" s="11">
        <v>41002</v>
      </c>
      <c r="F19" s="12" t="s">
        <v>80</v>
      </c>
      <c r="G19" s="4">
        <v>1800</v>
      </c>
      <c r="H19" s="12" t="s">
        <v>81</v>
      </c>
    </row>
    <row r="20" spans="1:8" ht="15.75" customHeight="1">
      <c r="A20" s="2">
        <v>14</v>
      </c>
      <c r="B20" s="3" t="s">
        <v>41</v>
      </c>
      <c r="C20" s="6">
        <f>(17+$C$51)/180</f>
        <v>0.16111111111111112</v>
      </c>
      <c r="D20" s="9"/>
      <c r="E20" s="11"/>
      <c r="F20" s="12"/>
      <c r="G20" s="4">
        <v>0</v>
      </c>
      <c r="H20" s="12"/>
    </row>
    <row r="21" spans="1:8" ht="15.75" customHeight="1">
      <c r="A21" s="2"/>
      <c r="B21" s="62" t="s">
        <v>18</v>
      </c>
      <c r="C21" s="63"/>
      <c r="D21" s="63"/>
      <c r="E21" s="63"/>
      <c r="F21" s="63"/>
      <c r="G21" s="63"/>
      <c r="H21" s="64"/>
    </row>
    <row r="22" spans="1:8" ht="28.5" customHeight="1">
      <c r="A22" s="2">
        <v>1</v>
      </c>
      <c r="B22" s="3" t="s">
        <v>15</v>
      </c>
      <c r="C22" s="6">
        <f>(41+$C$51)/408</f>
        <v>0.12990196078431374</v>
      </c>
      <c r="D22" s="9">
        <v>2</v>
      </c>
      <c r="E22" s="4" t="s">
        <v>82</v>
      </c>
      <c r="F22" s="13" t="s">
        <v>83</v>
      </c>
      <c r="G22" s="4" t="s">
        <v>84</v>
      </c>
      <c r="H22" s="12" t="s">
        <v>85</v>
      </c>
    </row>
    <row r="23" spans="1:8" ht="69.75" customHeight="1">
      <c r="A23" s="2">
        <v>2</v>
      </c>
      <c r="B23" s="3" t="s">
        <v>16</v>
      </c>
      <c r="C23" s="6">
        <f>(41+$C$51)/408</f>
        <v>0.12990196078431374</v>
      </c>
      <c r="D23" s="9">
        <v>3</v>
      </c>
      <c r="E23" s="11" t="s">
        <v>86</v>
      </c>
      <c r="F23" s="13" t="s">
        <v>87</v>
      </c>
      <c r="G23" s="4" t="s">
        <v>88</v>
      </c>
      <c r="H23" s="12" t="s">
        <v>89</v>
      </c>
    </row>
    <row r="24" spans="1:8" ht="16.5" customHeight="1">
      <c r="A24" s="2">
        <v>3</v>
      </c>
      <c r="B24" s="3" t="s">
        <v>34</v>
      </c>
      <c r="C24" s="6">
        <f>(34+$C$51)/276</f>
        <v>0.16666666666666666</v>
      </c>
      <c r="D24" s="9"/>
      <c r="E24" s="4"/>
      <c r="F24" s="13"/>
      <c r="G24" s="4">
        <v>0</v>
      </c>
      <c r="H24" s="12"/>
    </row>
    <row r="25" spans="1:8" ht="16.5" customHeight="1">
      <c r="A25" s="2">
        <v>4</v>
      </c>
      <c r="B25" s="3" t="s">
        <v>35</v>
      </c>
      <c r="C25" s="6">
        <f>(34+$C$51)/276</f>
        <v>0.16666666666666666</v>
      </c>
      <c r="D25" s="9"/>
      <c r="E25" s="4"/>
      <c r="F25" s="13"/>
      <c r="G25" s="4">
        <v>0</v>
      </c>
      <c r="H25" s="12"/>
    </row>
    <row r="26" spans="1:8" ht="16.5" customHeight="1">
      <c r="A26" s="2">
        <v>5</v>
      </c>
      <c r="B26" s="3" t="s">
        <v>36</v>
      </c>
      <c r="C26" s="6">
        <f>(36+$C$51)/300</f>
        <v>0.16</v>
      </c>
      <c r="D26" s="9"/>
      <c r="E26" s="4"/>
      <c r="F26" s="13"/>
      <c r="G26" s="4">
        <v>0</v>
      </c>
      <c r="H26" s="12"/>
    </row>
    <row r="27" spans="1:8" ht="16.5" customHeight="1">
      <c r="A27" s="2">
        <v>6</v>
      </c>
      <c r="B27" s="3" t="s">
        <v>37</v>
      </c>
      <c r="C27" s="6">
        <f>(36+$C$51)/300</f>
        <v>0.16</v>
      </c>
      <c r="D27" s="9"/>
      <c r="E27" s="4"/>
      <c r="F27" s="13"/>
      <c r="G27" s="4">
        <v>0</v>
      </c>
      <c r="H27" s="12"/>
    </row>
    <row r="28" spans="1:8" ht="16.5" customHeight="1">
      <c r="A28" s="2">
        <v>7</v>
      </c>
      <c r="B28" s="3" t="s">
        <v>32</v>
      </c>
      <c r="C28" s="6">
        <f>(41+$C$51)/312</f>
        <v>0.16987179487179488</v>
      </c>
      <c r="D28" s="9"/>
      <c r="E28" s="4"/>
      <c r="F28" s="13"/>
      <c r="G28" s="4">
        <v>0</v>
      </c>
      <c r="H28" s="12"/>
    </row>
    <row r="29" spans="1:8" ht="16.5" customHeight="1">
      <c r="A29" s="2">
        <v>8</v>
      </c>
      <c r="B29" s="3" t="s">
        <v>33</v>
      </c>
      <c r="C29" s="6">
        <f>(41+$C$51)/312</f>
        <v>0.16987179487179488</v>
      </c>
      <c r="D29" s="9"/>
      <c r="E29" s="4"/>
      <c r="F29" s="13"/>
      <c r="G29" s="4">
        <v>0</v>
      </c>
      <c r="H29" s="12"/>
    </row>
    <row r="30" spans="1:8" ht="16.5" customHeight="1">
      <c r="A30" s="2">
        <v>9</v>
      </c>
      <c r="B30" s="3" t="s">
        <v>31</v>
      </c>
      <c r="C30" s="6">
        <f>(46+$C$51)/300</f>
        <v>0.19333333333333333</v>
      </c>
      <c r="D30" s="9"/>
      <c r="E30" s="4"/>
      <c r="F30" s="13"/>
      <c r="G30" s="4">
        <v>0</v>
      </c>
      <c r="H30" s="12"/>
    </row>
    <row r="31" spans="1:8" ht="16.5" customHeight="1">
      <c r="A31" s="2">
        <v>10</v>
      </c>
      <c r="B31" s="3" t="s">
        <v>30</v>
      </c>
      <c r="C31" s="6">
        <f>(46+$C$51)/300</f>
        <v>0.19333333333333333</v>
      </c>
      <c r="D31" s="9"/>
      <c r="E31" s="4"/>
      <c r="F31" s="13"/>
      <c r="G31" s="4">
        <v>0</v>
      </c>
      <c r="H31" s="12"/>
    </row>
    <row r="32" spans="1:8" ht="16.5" customHeight="1">
      <c r="A32" s="2">
        <v>11</v>
      </c>
      <c r="B32" s="3" t="s">
        <v>38</v>
      </c>
      <c r="C32" s="6">
        <f>(24+$C$51)/240</f>
        <v>0.15</v>
      </c>
      <c r="D32" s="9"/>
      <c r="E32" s="4"/>
      <c r="F32" s="13"/>
      <c r="G32" s="4">
        <v>0</v>
      </c>
      <c r="H32" s="12"/>
    </row>
    <row r="33" spans="1:8" ht="16.5" customHeight="1">
      <c r="A33" s="2">
        <v>12</v>
      </c>
      <c r="B33" s="3" t="s">
        <v>19</v>
      </c>
      <c r="C33" s="6">
        <f>(41+$C$51)/264</f>
        <v>0.20075757575757575</v>
      </c>
      <c r="D33" s="9"/>
      <c r="E33" s="4"/>
      <c r="F33" s="13"/>
      <c r="G33" s="4">
        <v>0</v>
      </c>
      <c r="H33" s="12"/>
    </row>
    <row r="34" spans="1:8" ht="16.5" customHeight="1">
      <c r="A34" s="2">
        <v>13</v>
      </c>
      <c r="B34" s="3" t="s">
        <v>20</v>
      </c>
      <c r="C34" s="6">
        <f>(41+$C$51)/264</f>
        <v>0.20075757575757575</v>
      </c>
      <c r="D34" s="9"/>
      <c r="E34" s="4"/>
      <c r="F34" s="12"/>
      <c r="G34" s="4">
        <v>0</v>
      </c>
      <c r="H34" s="12"/>
    </row>
    <row r="35" spans="1:8" ht="16.5" customHeight="1">
      <c r="A35" s="2">
        <v>14</v>
      </c>
      <c r="B35" s="3" t="s">
        <v>21</v>
      </c>
      <c r="C35" s="6">
        <f>(41+$C$51)/264</f>
        <v>0.20075757575757575</v>
      </c>
      <c r="D35" s="9"/>
      <c r="E35" s="4"/>
      <c r="F35" s="12"/>
      <c r="G35" s="4">
        <v>0</v>
      </c>
      <c r="H35" s="12"/>
    </row>
    <row r="36" spans="1:8" ht="16.5" customHeight="1">
      <c r="A36" s="2">
        <v>15</v>
      </c>
      <c r="B36" s="3" t="s">
        <v>22</v>
      </c>
      <c r="C36" s="6">
        <f>(41+$C$51)/264</f>
        <v>0.20075757575757575</v>
      </c>
      <c r="D36" s="9"/>
      <c r="E36" s="4"/>
      <c r="F36" s="12"/>
      <c r="G36" s="4">
        <v>0</v>
      </c>
      <c r="H36" s="12"/>
    </row>
    <row r="37" spans="1:8" ht="16.5" customHeight="1">
      <c r="A37" s="2">
        <v>16</v>
      </c>
      <c r="B37" s="3" t="s">
        <v>23</v>
      </c>
      <c r="C37" s="6">
        <f>(46+$C$51)/300</f>
        <v>0.19333333333333333</v>
      </c>
      <c r="D37" s="9"/>
      <c r="E37" s="4"/>
      <c r="F37" s="12"/>
      <c r="G37" s="4">
        <v>0</v>
      </c>
      <c r="H37" s="12"/>
    </row>
    <row r="38" spans="1:8" ht="16.5" customHeight="1">
      <c r="A38" s="2">
        <v>17</v>
      </c>
      <c r="B38" s="3" t="s">
        <v>24</v>
      </c>
      <c r="C38" s="6">
        <f>(46+$C$51)/300</f>
        <v>0.19333333333333333</v>
      </c>
      <c r="D38" s="9"/>
      <c r="E38" s="4"/>
      <c r="F38" s="12"/>
      <c r="G38" s="4">
        <v>0</v>
      </c>
      <c r="H38" s="12"/>
    </row>
    <row r="39" spans="1:8" ht="16.5" customHeight="1">
      <c r="A39" s="2">
        <v>18</v>
      </c>
      <c r="B39" s="3" t="s">
        <v>53</v>
      </c>
      <c r="C39" s="8">
        <f>(12+$C$51)/300</f>
        <v>0.08</v>
      </c>
      <c r="D39" s="9"/>
      <c r="E39" s="4"/>
      <c r="F39" s="12"/>
      <c r="G39" s="4">
        <v>0</v>
      </c>
      <c r="H39" s="12"/>
    </row>
    <row r="40" spans="1:8" ht="16.5" customHeight="1">
      <c r="A40" s="2">
        <v>19</v>
      </c>
      <c r="B40" s="3" t="s">
        <v>52</v>
      </c>
      <c r="C40" s="8">
        <f>(12+$C$51)/300</f>
        <v>0.08</v>
      </c>
      <c r="D40" s="9"/>
      <c r="E40" s="4"/>
      <c r="F40" s="12"/>
      <c r="G40" s="4">
        <v>0</v>
      </c>
      <c r="H40" s="12"/>
    </row>
    <row r="41" spans="1:8" ht="16.5" customHeight="1">
      <c r="A41" s="2">
        <v>20</v>
      </c>
      <c r="B41" s="3" t="s">
        <v>43</v>
      </c>
      <c r="C41" s="6">
        <f>(28+$C$51)/300</f>
        <v>0.13333333333333333</v>
      </c>
      <c r="D41" s="9"/>
      <c r="E41" s="4"/>
      <c r="F41" s="12"/>
      <c r="G41" s="4">
        <v>0</v>
      </c>
      <c r="H41" s="12"/>
    </row>
    <row r="42" spans="1:8" ht="16.5" customHeight="1">
      <c r="A42" s="2">
        <v>21</v>
      </c>
      <c r="B42" s="3" t="s">
        <v>44</v>
      </c>
      <c r="C42" s="6">
        <f>(28+$C$51)/300</f>
        <v>0.13333333333333333</v>
      </c>
      <c r="D42" s="9"/>
      <c r="E42" s="4"/>
      <c r="F42" s="12"/>
      <c r="G42" s="4">
        <v>0</v>
      </c>
      <c r="H42" s="12"/>
    </row>
    <row r="43" spans="1:8" ht="16.5" customHeight="1">
      <c r="A43" s="2">
        <v>22</v>
      </c>
      <c r="B43" s="3" t="s">
        <v>46</v>
      </c>
      <c r="C43" s="6">
        <f>(12+$C$51)/300</f>
        <v>0.08</v>
      </c>
      <c r="D43" s="9"/>
      <c r="E43" s="4"/>
      <c r="F43" s="12"/>
      <c r="G43" s="4">
        <v>0</v>
      </c>
      <c r="H43" s="12"/>
    </row>
    <row r="44" spans="1:8" ht="16.5" customHeight="1">
      <c r="A44" s="2">
        <v>23</v>
      </c>
      <c r="B44" s="3" t="s">
        <v>47</v>
      </c>
      <c r="C44" s="6">
        <f>(12+$C$51)/300</f>
        <v>0.08</v>
      </c>
      <c r="D44" s="9"/>
      <c r="E44" s="4"/>
      <c r="F44" s="12"/>
      <c r="G44" s="4">
        <v>0</v>
      </c>
      <c r="H44" s="12"/>
    </row>
    <row r="45" spans="1:8" ht="16.5" customHeight="1">
      <c r="A45" s="2">
        <v>24</v>
      </c>
      <c r="B45" s="3" t="s">
        <v>25</v>
      </c>
      <c r="C45" s="6">
        <f>(42+$C$51)/300</f>
        <v>0.18</v>
      </c>
      <c r="D45" s="9"/>
      <c r="E45" s="4"/>
      <c r="F45" s="12"/>
      <c r="G45" s="4">
        <v>0</v>
      </c>
      <c r="H45" s="12"/>
    </row>
    <row r="46" spans="1:8" ht="16.5" customHeight="1">
      <c r="A46" s="2">
        <v>25</v>
      </c>
      <c r="B46" s="3" t="s">
        <v>26</v>
      </c>
      <c r="C46" s="6">
        <f>(42+$C$51)/300</f>
        <v>0.18</v>
      </c>
      <c r="D46" s="9"/>
      <c r="E46" s="4"/>
      <c r="F46" s="12"/>
      <c r="G46" s="4">
        <v>0</v>
      </c>
      <c r="H46" s="12"/>
    </row>
    <row r="47" spans="1:8" ht="16.5" customHeight="1">
      <c r="A47" s="2">
        <v>26</v>
      </c>
      <c r="B47" s="3" t="s">
        <v>27</v>
      </c>
      <c r="C47" s="6">
        <f>(42+$C$51)/300</f>
        <v>0.18</v>
      </c>
      <c r="D47" s="9"/>
      <c r="E47" s="4"/>
      <c r="F47" s="12"/>
      <c r="G47" s="4">
        <v>0</v>
      </c>
      <c r="H47" s="12"/>
    </row>
    <row r="48" spans="1:8" ht="16.5" customHeight="1">
      <c r="A48" s="2">
        <v>27</v>
      </c>
      <c r="B48" s="3" t="s">
        <v>28</v>
      </c>
      <c r="C48" s="6">
        <f>(42+$C$51)/300</f>
        <v>0.18</v>
      </c>
      <c r="D48" s="9"/>
      <c r="E48" s="4"/>
      <c r="F48" s="12"/>
      <c r="G48" s="4">
        <v>0</v>
      </c>
      <c r="H48" s="12"/>
    </row>
    <row r="49" spans="1:8" ht="16.5" customHeight="1">
      <c r="A49" s="2">
        <v>28</v>
      </c>
      <c r="B49" s="3" t="s">
        <v>29</v>
      </c>
      <c r="C49" s="6">
        <f>(24+$C$51)/300</f>
        <v>0.12</v>
      </c>
      <c r="D49" s="9"/>
      <c r="E49" s="4"/>
      <c r="F49" s="12"/>
      <c r="G49" s="4">
        <v>0</v>
      </c>
      <c r="H49" s="12"/>
    </row>
    <row r="50" spans="1:8" ht="16.5" customHeight="1">
      <c r="A50" s="2">
        <v>29</v>
      </c>
      <c r="B50" s="3" t="s">
        <v>58</v>
      </c>
      <c r="C50" s="6">
        <f>(17+$C$51)/180</f>
        <v>0.16111111111111112</v>
      </c>
      <c r="D50" s="9"/>
      <c r="E50" s="11"/>
      <c r="F50" s="12"/>
      <c r="G50" s="4">
        <v>0</v>
      </c>
      <c r="H50" s="12"/>
    </row>
    <row r="51" spans="3:8" ht="15">
      <c r="C51" s="7">
        <v>12</v>
      </c>
      <c r="D51" s="7"/>
      <c r="E51" s="5"/>
      <c r="F51" s="5"/>
      <c r="G51" s="5"/>
      <c r="H51" s="5"/>
    </row>
    <row r="52" spans="1:8" ht="14.25" customHeight="1">
      <c r="A52" s="1" t="s">
        <v>40</v>
      </c>
      <c r="B52" s="65" t="s">
        <v>42</v>
      </c>
      <c r="C52" s="65"/>
      <c r="D52" s="65"/>
      <c r="E52" s="65"/>
      <c r="F52" s="65"/>
      <c r="G52" s="65"/>
      <c r="H52" s="65"/>
    </row>
  </sheetData>
  <sheetProtection/>
  <mergeCells count="6">
    <mergeCell ref="B21:H21"/>
    <mergeCell ref="B52:H52"/>
    <mergeCell ref="A1:H1"/>
    <mergeCell ref="A2:H2"/>
    <mergeCell ref="A3:H3"/>
    <mergeCell ref="B5:H5"/>
  </mergeCells>
  <printOptions/>
  <pageMargins left="0.25" right="0.17" top="0.59" bottom="0.28" header="0.5" footer="0.2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="70" zoomScaleNormal="70" zoomScalePageLayoutView="0" workbookViewId="0" topLeftCell="A1">
      <selection activeCell="K13" sqref="K13"/>
    </sheetView>
  </sheetViews>
  <sheetFormatPr defaultColWidth="9.140625" defaultRowHeight="12.75"/>
  <cols>
    <col min="1" max="1" width="9.140625" style="26" customWidth="1"/>
    <col min="2" max="2" width="18.28125" style="26" customWidth="1"/>
    <col min="3" max="5" width="9.140625" style="26" customWidth="1"/>
    <col min="6" max="6" width="18.28125" style="26" customWidth="1"/>
    <col min="7" max="7" width="16.140625" style="26" customWidth="1"/>
    <col min="8" max="9" width="9.140625" style="26" customWidth="1"/>
    <col min="10" max="16384" width="9.140625" style="24" customWidth="1"/>
  </cols>
  <sheetData>
    <row r="1" spans="1:17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9" ht="13.5">
      <c r="A2" s="24" t="s">
        <v>255</v>
      </c>
      <c r="B2" s="24"/>
      <c r="C2" s="24"/>
      <c r="D2" s="24"/>
      <c r="E2" s="24"/>
      <c r="F2" s="24"/>
      <c r="G2" s="24"/>
      <c r="H2" s="24"/>
      <c r="I2" s="24"/>
      <c r="P2" s="24" t="s">
        <v>353</v>
      </c>
      <c r="Q2" s="32" t="s">
        <v>371</v>
      </c>
      <c r="R2" s="26" t="s">
        <v>344</v>
      </c>
      <c r="S2" s="25">
        <v>2020</v>
      </c>
      <c r="T2" s="24" t="s">
        <v>256</v>
      </c>
      <c r="Y2" s="27"/>
      <c r="Z2" s="27"/>
      <c r="AA2" s="27"/>
      <c r="AB2" s="27"/>
      <c r="AC2" s="27"/>
    </row>
    <row r="3" spans="1:29" ht="12.75">
      <c r="A3" s="48" t="s">
        <v>257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Y3" s="27"/>
      <c r="Z3" s="27"/>
      <c r="AA3" s="27"/>
      <c r="AB3" s="27"/>
      <c r="AC3" s="27"/>
    </row>
    <row r="4" spans="1:29" ht="14.25">
      <c r="A4" s="49" t="s">
        <v>258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21"/>
      <c r="X4" s="21"/>
      <c r="Y4" s="21"/>
      <c r="Z4" s="21"/>
      <c r="AA4" s="21"/>
      <c r="AB4" s="21"/>
      <c r="AC4" s="21"/>
    </row>
    <row r="5" spans="1:29" s="26" customFormat="1" ht="27.75" customHeight="1" thickBot="1">
      <c r="A5" s="28"/>
      <c r="B5" s="28"/>
      <c r="C5" s="28"/>
      <c r="D5" s="28"/>
      <c r="E5" s="28"/>
      <c r="F5" s="2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  <c r="V5" s="24"/>
      <c r="W5" s="24"/>
      <c r="X5" s="24"/>
      <c r="Y5" s="24"/>
      <c r="Z5" s="24"/>
      <c r="AA5" s="24"/>
      <c r="AB5" s="24"/>
      <c r="AC5" s="24"/>
    </row>
    <row r="6" spans="1:29" ht="32.25" customHeight="1" thickBot="1">
      <c r="A6" s="51" t="s">
        <v>259</v>
      </c>
      <c r="B6" s="52"/>
      <c r="C6" s="52"/>
      <c r="D6" s="52"/>
      <c r="E6" s="52"/>
      <c r="F6" s="52"/>
      <c r="G6" s="52"/>
      <c r="H6" s="52"/>
      <c r="I6" s="53"/>
      <c r="J6" s="54" t="s">
        <v>260</v>
      </c>
      <c r="K6" s="45" t="s">
        <v>261</v>
      </c>
      <c r="L6" s="52" t="s">
        <v>262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45" t="s">
        <v>263</v>
      </c>
      <c r="Z6" s="56" t="s">
        <v>264</v>
      </c>
      <c r="AA6" s="57"/>
      <c r="AB6" s="58"/>
      <c r="AC6" s="43" t="s">
        <v>265</v>
      </c>
    </row>
    <row r="7" spans="1:29" ht="171.75" customHeight="1" thickBot="1">
      <c r="A7" s="45" t="s">
        <v>266</v>
      </c>
      <c r="B7" s="45" t="s">
        <v>267</v>
      </c>
      <c r="C7" s="45" t="s">
        <v>268</v>
      </c>
      <c r="D7" s="45" t="s">
        <v>269</v>
      </c>
      <c r="E7" s="45" t="s">
        <v>270</v>
      </c>
      <c r="F7" s="45" t="s">
        <v>271</v>
      </c>
      <c r="G7" s="45" t="s">
        <v>272</v>
      </c>
      <c r="H7" s="45" t="s">
        <v>273</v>
      </c>
      <c r="I7" s="45" t="s">
        <v>274</v>
      </c>
      <c r="J7" s="55"/>
      <c r="K7" s="46"/>
      <c r="L7" s="43" t="s">
        <v>275</v>
      </c>
      <c r="M7" s="45" t="s">
        <v>276</v>
      </c>
      <c r="N7" s="45" t="s">
        <v>277</v>
      </c>
      <c r="O7" s="51" t="s">
        <v>278</v>
      </c>
      <c r="P7" s="52"/>
      <c r="Q7" s="52"/>
      <c r="R7" s="52"/>
      <c r="S7" s="52"/>
      <c r="T7" s="52"/>
      <c r="U7" s="52"/>
      <c r="V7" s="52"/>
      <c r="W7" s="53"/>
      <c r="X7" s="45" t="s">
        <v>279</v>
      </c>
      <c r="Y7" s="46"/>
      <c r="Z7" s="59"/>
      <c r="AA7" s="60"/>
      <c r="AB7" s="61"/>
      <c r="AC7" s="44"/>
    </row>
    <row r="8" spans="1:29" ht="63.75" customHeight="1" thickBot="1">
      <c r="A8" s="46"/>
      <c r="B8" s="46"/>
      <c r="C8" s="46"/>
      <c r="D8" s="46"/>
      <c r="E8" s="46"/>
      <c r="F8" s="46"/>
      <c r="G8" s="46"/>
      <c r="H8" s="46"/>
      <c r="I8" s="46"/>
      <c r="J8" s="55"/>
      <c r="K8" s="46"/>
      <c r="L8" s="44"/>
      <c r="M8" s="46"/>
      <c r="N8" s="46"/>
      <c r="O8" s="45" t="s">
        <v>280</v>
      </c>
      <c r="P8" s="51" t="s">
        <v>281</v>
      </c>
      <c r="Q8" s="52"/>
      <c r="R8" s="53"/>
      <c r="S8" s="51" t="s">
        <v>282</v>
      </c>
      <c r="T8" s="52"/>
      <c r="U8" s="52"/>
      <c r="V8" s="53"/>
      <c r="W8" s="45" t="s">
        <v>283</v>
      </c>
      <c r="X8" s="46"/>
      <c r="Y8" s="46"/>
      <c r="Z8" s="45" t="s">
        <v>284</v>
      </c>
      <c r="AA8" s="45" t="s">
        <v>285</v>
      </c>
      <c r="AB8" s="45" t="s">
        <v>286</v>
      </c>
      <c r="AC8" s="44"/>
    </row>
    <row r="9" spans="1:29" ht="71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55"/>
      <c r="K9" s="46"/>
      <c r="L9" s="44"/>
      <c r="M9" s="46"/>
      <c r="N9" s="46"/>
      <c r="O9" s="46"/>
      <c r="P9" s="33" t="s">
        <v>287</v>
      </c>
      <c r="Q9" s="33" t="s">
        <v>288</v>
      </c>
      <c r="R9" s="33" t="s">
        <v>289</v>
      </c>
      <c r="S9" s="33" t="s">
        <v>290</v>
      </c>
      <c r="T9" s="33" t="s">
        <v>291</v>
      </c>
      <c r="U9" s="33" t="s">
        <v>292</v>
      </c>
      <c r="V9" s="33" t="s">
        <v>293</v>
      </c>
      <c r="W9" s="46"/>
      <c r="X9" s="46"/>
      <c r="Y9" s="46"/>
      <c r="Z9" s="46"/>
      <c r="AA9" s="46"/>
      <c r="AB9" s="46"/>
      <c r="AC9" s="44"/>
    </row>
    <row r="10" spans="1:29" ht="17.25" customHeight="1" thickBo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  <c r="AB10" s="30">
        <v>28</v>
      </c>
      <c r="AC10" s="30">
        <v>29</v>
      </c>
    </row>
    <row r="11" spans="1:29" ht="72" customHeight="1">
      <c r="A11" s="23">
        <v>1</v>
      </c>
      <c r="B11" s="23" t="s">
        <v>294</v>
      </c>
      <c r="C11" s="23" t="s">
        <v>295</v>
      </c>
      <c r="D11" s="23" t="s">
        <v>318</v>
      </c>
      <c r="E11" s="23" t="s">
        <v>297</v>
      </c>
      <c r="F11" s="23" t="s">
        <v>372</v>
      </c>
      <c r="G11" s="23" t="s">
        <v>373</v>
      </c>
      <c r="H11" s="23" t="s">
        <v>300</v>
      </c>
      <c r="I11" s="23">
        <v>2.32</v>
      </c>
      <c r="J11" s="23">
        <v>2</v>
      </c>
      <c r="K11" s="23">
        <v>2</v>
      </c>
      <c r="L11" s="23" t="s">
        <v>374</v>
      </c>
      <c r="M11" s="23">
        <v>0</v>
      </c>
      <c r="N11" s="23">
        <v>0</v>
      </c>
      <c r="O11" s="23">
        <v>1</v>
      </c>
      <c r="P11" s="23">
        <v>0</v>
      </c>
      <c r="Q11" s="23">
        <v>0</v>
      </c>
      <c r="R11" s="23">
        <v>1</v>
      </c>
      <c r="S11" s="23">
        <v>0</v>
      </c>
      <c r="T11" s="23">
        <v>0</v>
      </c>
      <c r="U11" s="23">
        <v>1</v>
      </c>
      <c r="V11" s="23">
        <v>0</v>
      </c>
      <c r="W11" s="23">
        <v>0</v>
      </c>
      <c r="X11" s="23">
        <v>650</v>
      </c>
      <c r="Y11" s="23"/>
      <c r="Z11" s="23">
        <v>1</v>
      </c>
      <c r="AA11" s="23" t="s">
        <v>375</v>
      </c>
      <c r="AB11" s="23" t="s">
        <v>376</v>
      </c>
      <c r="AC11" s="23">
        <v>1</v>
      </c>
    </row>
    <row r="12" spans="1:29" ht="72" customHeight="1">
      <c r="A12" s="23">
        <v>2</v>
      </c>
      <c r="B12" s="23" t="s">
        <v>294</v>
      </c>
      <c r="C12" s="23" t="s">
        <v>295</v>
      </c>
      <c r="D12" s="23" t="s">
        <v>318</v>
      </c>
      <c r="E12" s="23" t="s">
        <v>297</v>
      </c>
      <c r="F12" s="23" t="s">
        <v>377</v>
      </c>
      <c r="G12" s="23" t="s">
        <v>378</v>
      </c>
      <c r="H12" s="23" t="s">
        <v>300</v>
      </c>
      <c r="I12" s="23">
        <v>0.02</v>
      </c>
      <c r="J12" s="23">
        <v>1</v>
      </c>
      <c r="K12" s="23">
        <v>1</v>
      </c>
      <c r="L12" s="23" t="s">
        <v>379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/>
      <c r="Z12" s="23">
        <v>2</v>
      </c>
      <c r="AA12" s="23"/>
      <c r="AB12" s="23" t="s">
        <v>333</v>
      </c>
      <c r="AC12" s="23">
        <v>1</v>
      </c>
    </row>
    <row r="13" spans="1:29" ht="72" customHeight="1">
      <c r="A13" s="23">
        <v>3</v>
      </c>
      <c r="B13" s="23" t="s">
        <v>294</v>
      </c>
      <c r="C13" s="23" t="s">
        <v>295</v>
      </c>
      <c r="D13" s="23" t="s">
        <v>318</v>
      </c>
      <c r="E13" s="23" t="s">
        <v>297</v>
      </c>
      <c r="F13" s="23" t="s">
        <v>380</v>
      </c>
      <c r="G13" s="23" t="s">
        <v>381</v>
      </c>
      <c r="H13" s="23" t="s">
        <v>300</v>
      </c>
      <c r="I13" s="23">
        <v>0.6</v>
      </c>
      <c r="J13" s="23">
        <v>3</v>
      </c>
      <c r="K13" s="23">
        <v>3</v>
      </c>
      <c r="L13" s="23" t="s">
        <v>379</v>
      </c>
      <c r="M13" s="23">
        <v>0</v>
      </c>
      <c r="N13" s="23">
        <v>2</v>
      </c>
      <c r="O13" s="23">
        <v>5</v>
      </c>
      <c r="P13" s="23">
        <v>0</v>
      </c>
      <c r="Q13" s="23">
        <v>2</v>
      </c>
      <c r="R13" s="23">
        <v>3</v>
      </c>
      <c r="S13" s="23">
        <v>0</v>
      </c>
      <c r="T13" s="23">
        <v>0</v>
      </c>
      <c r="U13" s="23">
        <v>5</v>
      </c>
      <c r="V13" s="23">
        <v>0</v>
      </c>
      <c r="W13" s="23">
        <v>0</v>
      </c>
      <c r="X13" s="23">
        <v>1000</v>
      </c>
      <c r="Y13" s="23"/>
      <c r="Z13" s="23">
        <v>3</v>
      </c>
      <c r="AA13" s="23"/>
      <c r="AB13" s="23" t="s">
        <v>333</v>
      </c>
      <c r="AC13" s="23">
        <v>1</v>
      </c>
    </row>
    <row r="14" spans="1:31" s="35" customFormat="1" ht="72" customHeight="1">
      <c r="A14" s="23">
        <v>4</v>
      </c>
      <c r="B14" s="23" t="s">
        <v>257</v>
      </c>
      <c r="C14" s="23" t="s">
        <v>304</v>
      </c>
      <c r="D14" s="23" t="s">
        <v>382</v>
      </c>
      <c r="E14" s="23" t="s">
        <v>297</v>
      </c>
      <c r="F14" s="23" t="s">
        <v>383</v>
      </c>
      <c r="G14" s="23" t="s">
        <v>384</v>
      </c>
      <c r="H14" s="23" t="s">
        <v>300</v>
      </c>
      <c r="I14" s="23">
        <v>1.97</v>
      </c>
      <c r="J14" s="23">
        <v>2</v>
      </c>
      <c r="K14" s="23">
        <v>2</v>
      </c>
      <c r="L14" s="23" t="s">
        <v>385</v>
      </c>
      <c r="M14" s="23">
        <v>0</v>
      </c>
      <c r="N14" s="23">
        <v>0</v>
      </c>
      <c r="O14" s="23">
        <v>5</v>
      </c>
      <c r="P14" s="23">
        <v>0</v>
      </c>
      <c r="Q14" s="23">
        <v>0</v>
      </c>
      <c r="R14" s="23">
        <v>5</v>
      </c>
      <c r="S14" s="23">
        <v>0</v>
      </c>
      <c r="T14" s="23">
        <v>0</v>
      </c>
      <c r="U14" s="23">
        <v>5</v>
      </c>
      <c r="V14" s="23">
        <v>0</v>
      </c>
      <c r="W14" s="23">
        <v>0</v>
      </c>
      <c r="X14" s="23">
        <v>300</v>
      </c>
      <c r="Y14" s="23"/>
      <c r="Z14" s="23">
        <v>4</v>
      </c>
      <c r="AA14" s="23" t="s">
        <v>386</v>
      </c>
      <c r="AB14" s="23" t="s">
        <v>312</v>
      </c>
      <c r="AC14" s="23">
        <v>1</v>
      </c>
      <c r="AD14" s="34"/>
      <c r="AE14" s="34"/>
    </row>
    <row r="15" spans="1:31" s="35" customFormat="1" ht="72" customHeight="1">
      <c r="A15" s="23">
        <v>5</v>
      </c>
      <c r="B15" s="23" t="s">
        <v>294</v>
      </c>
      <c r="C15" s="23" t="s">
        <v>323</v>
      </c>
      <c r="D15" s="23" t="s">
        <v>387</v>
      </c>
      <c r="E15" s="23" t="s">
        <v>297</v>
      </c>
      <c r="F15" s="23" t="s">
        <v>388</v>
      </c>
      <c r="G15" s="23" t="s">
        <v>389</v>
      </c>
      <c r="H15" s="23" t="s">
        <v>300</v>
      </c>
      <c r="I15" s="23">
        <v>3.85</v>
      </c>
      <c r="J15" s="23">
        <v>2</v>
      </c>
      <c r="K15" s="23">
        <v>2</v>
      </c>
      <c r="L15" s="23" t="s">
        <v>390</v>
      </c>
      <c r="M15" s="23">
        <v>0</v>
      </c>
      <c r="N15" s="23">
        <v>0</v>
      </c>
      <c r="O15" s="23">
        <v>1</v>
      </c>
      <c r="P15" s="23">
        <v>0</v>
      </c>
      <c r="Q15" s="23">
        <v>0</v>
      </c>
      <c r="R15" s="23">
        <v>1</v>
      </c>
      <c r="S15" s="23">
        <v>0</v>
      </c>
      <c r="T15" s="23">
        <v>0</v>
      </c>
      <c r="U15" s="23">
        <v>1</v>
      </c>
      <c r="V15" s="23">
        <v>0</v>
      </c>
      <c r="W15" s="23">
        <v>0</v>
      </c>
      <c r="X15" s="23">
        <v>800</v>
      </c>
      <c r="Y15" s="23"/>
      <c r="Z15" s="23" t="s">
        <v>391</v>
      </c>
      <c r="AA15" s="23" t="s">
        <v>311</v>
      </c>
      <c r="AB15" s="23" t="s">
        <v>312</v>
      </c>
      <c r="AC15" s="23">
        <v>1</v>
      </c>
      <c r="AD15" s="34"/>
      <c r="AE15" s="34"/>
    </row>
    <row r="16" spans="1:29" ht="72" customHeight="1">
      <c r="A16" s="23">
        <v>6</v>
      </c>
      <c r="B16" s="23" t="s">
        <v>294</v>
      </c>
      <c r="C16" s="23" t="s">
        <v>304</v>
      </c>
      <c r="D16" s="23" t="s">
        <v>392</v>
      </c>
      <c r="E16" s="23" t="s">
        <v>319</v>
      </c>
      <c r="F16" s="23" t="s">
        <v>393</v>
      </c>
      <c r="G16" s="23" t="s">
        <v>393</v>
      </c>
      <c r="H16" s="23" t="s">
        <v>300</v>
      </c>
      <c r="I16" s="23">
        <v>0</v>
      </c>
      <c r="J16" s="23">
        <v>1</v>
      </c>
      <c r="K16" s="23">
        <v>2</v>
      </c>
      <c r="L16" s="23" t="s">
        <v>394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/>
      <c r="Z16" s="23">
        <v>4</v>
      </c>
      <c r="AA16" s="23" t="s">
        <v>395</v>
      </c>
      <c r="AB16" s="23" t="s">
        <v>312</v>
      </c>
      <c r="AC16" s="23">
        <v>1</v>
      </c>
    </row>
    <row r="17" spans="1:29" ht="72" customHeight="1">
      <c r="A17" s="23">
        <v>7</v>
      </c>
      <c r="B17" s="38" t="s">
        <v>294</v>
      </c>
      <c r="C17" s="38" t="s">
        <v>304</v>
      </c>
      <c r="D17" s="38" t="s">
        <v>396</v>
      </c>
      <c r="E17" s="38" t="s">
        <v>319</v>
      </c>
      <c r="F17" s="38" t="s">
        <v>393</v>
      </c>
      <c r="G17" s="38" t="s">
        <v>397</v>
      </c>
      <c r="H17" s="38" t="s">
        <v>300</v>
      </c>
      <c r="I17" s="38">
        <v>1.07</v>
      </c>
      <c r="J17" s="38">
        <v>0</v>
      </c>
      <c r="K17" s="38">
        <v>2</v>
      </c>
      <c r="L17" s="38" t="s">
        <v>398</v>
      </c>
      <c r="M17" s="38">
        <v>0</v>
      </c>
      <c r="N17" s="38">
        <v>2</v>
      </c>
      <c r="O17" s="38">
        <v>9</v>
      </c>
      <c r="P17" s="38">
        <v>0</v>
      </c>
      <c r="Q17" s="38">
        <v>3</v>
      </c>
      <c r="R17" s="38">
        <v>6</v>
      </c>
      <c r="S17" s="38">
        <v>0</v>
      </c>
      <c r="T17" s="38">
        <v>0</v>
      </c>
      <c r="U17" s="38">
        <v>9</v>
      </c>
      <c r="V17" s="38">
        <v>0</v>
      </c>
      <c r="W17" s="38">
        <v>0</v>
      </c>
      <c r="X17" s="38">
        <v>3150</v>
      </c>
      <c r="Y17" s="38"/>
      <c r="Z17" s="38">
        <v>5</v>
      </c>
      <c r="AA17" s="38" t="s">
        <v>395</v>
      </c>
      <c r="AB17" s="38" t="s">
        <v>312</v>
      </c>
      <c r="AC17" s="38">
        <v>1</v>
      </c>
    </row>
    <row r="18" spans="1:29" ht="72" customHeight="1">
      <c r="A18" s="36">
        <v>8</v>
      </c>
      <c r="B18" s="37" t="s">
        <v>294</v>
      </c>
      <c r="C18" s="37" t="s">
        <v>323</v>
      </c>
      <c r="D18" s="37" t="s">
        <v>406</v>
      </c>
      <c r="E18" s="37" t="s">
        <v>297</v>
      </c>
      <c r="F18" s="37" t="s">
        <v>407</v>
      </c>
      <c r="G18" s="37" t="s">
        <v>408</v>
      </c>
      <c r="H18" s="37" t="s">
        <v>300</v>
      </c>
      <c r="I18" s="41">
        <v>2.25</v>
      </c>
      <c r="J18" s="37">
        <v>2</v>
      </c>
      <c r="K18" s="37">
        <v>2</v>
      </c>
      <c r="L18" s="37" t="s">
        <v>409</v>
      </c>
      <c r="M18" s="37">
        <v>0</v>
      </c>
      <c r="N18" s="37">
        <v>0</v>
      </c>
      <c r="O18" s="37">
        <v>1</v>
      </c>
      <c r="P18" s="37">
        <v>0</v>
      </c>
      <c r="Q18" s="37">
        <v>1</v>
      </c>
      <c r="R18" s="37">
        <v>0</v>
      </c>
      <c r="S18" s="37">
        <v>0</v>
      </c>
      <c r="T18" s="37">
        <v>0</v>
      </c>
      <c r="U18" s="37">
        <v>1</v>
      </c>
      <c r="V18" s="37">
        <v>0</v>
      </c>
      <c r="W18" s="37">
        <v>0</v>
      </c>
      <c r="X18" s="37">
        <v>0</v>
      </c>
      <c r="Y18" s="37"/>
      <c r="Z18" s="37" t="s">
        <v>410</v>
      </c>
      <c r="AA18" s="37" t="s">
        <v>311</v>
      </c>
      <c r="AB18" s="38" t="s">
        <v>312</v>
      </c>
      <c r="AC18" s="37">
        <v>1</v>
      </c>
    </row>
    <row r="19" spans="1:29" ht="72" customHeight="1">
      <c r="A19" s="36">
        <v>9</v>
      </c>
      <c r="B19" s="39" t="s">
        <v>399</v>
      </c>
      <c r="C19" s="39" t="s">
        <v>304</v>
      </c>
      <c r="D19" s="39" t="s">
        <v>400</v>
      </c>
      <c r="E19" s="39" t="s">
        <v>366</v>
      </c>
      <c r="F19" s="39" t="s">
        <v>401</v>
      </c>
      <c r="G19" s="39" t="s">
        <v>402</v>
      </c>
      <c r="H19" s="39" t="s">
        <v>300</v>
      </c>
      <c r="I19" s="39" t="s">
        <v>403</v>
      </c>
      <c r="J19" s="39">
        <v>2</v>
      </c>
      <c r="K19" s="39">
        <v>2</v>
      </c>
      <c r="L19" s="39" t="s">
        <v>404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0</v>
      </c>
      <c r="V19" s="39">
        <v>1</v>
      </c>
      <c r="W19" s="39">
        <v>0</v>
      </c>
      <c r="X19" s="39">
        <v>150</v>
      </c>
      <c r="Y19" s="39"/>
      <c r="Z19" s="39" t="s">
        <v>405</v>
      </c>
      <c r="AA19" s="39" t="s">
        <v>311</v>
      </c>
      <c r="AB19" s="40" t="s">
        <v>312</v>
      </c>
      <c r="AC19" s="39">
        <v>1</v>
      </c>
    </row>
    <row r="20" spans="1:29" s="20" customFormat="1" ht="72" customHeight="1">
      <c r="A20" s="23">
        <v>10</v>
      </c>
      <c r="B20" s="23" t="s">
        <v>294</v>
      </c>
      <c r="C20" s="23" t="s">
        <v>304</v>
      </c>
      <c r="D20" s="23" t="s">
        <v>392</v>
      </c>
      <c r="E20" s="23" t="s">
        <v>319</v>
      </c>
      <c r="F20" s="23" t="s">
        <v>411</v>
      </c>
      <c r="G20" s="23" t="s">
        <v>411</v>
      </c>
      <c r="H20" s="23" t="s">
        <v>300</v>
      </c>
      <c r="I20" s="23">
        <v>0</v>
      </c>
      <c r="J20" s="23">
        <v>1</v>
      </c>
      <c r="K20" s="23">
        <v>2</v>
      </c>
      <c r="L20" s="23" t="s">
        <v>394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/>
      <c r="Z20" s="23">
        <v>4</v>
      </c>
      <c r="AA20" s="23" t="s">
        <v>395</v>
      </c>
      <c r="AB20" s="23" t="s">
        <v>312</v>
      </c>
      <c r="AC20" s="23">
        <v>1</v>
      </c>
    </row>
    <row r="21" spans="1:29" s="20" customFormat="1" ht="72" customHeight="1">
      <c r="A21" s="23">
        <v>11</v>
      </c>
      <c r="B21" s="23" t="s">
        <v>399</v>
      </c>
      <c r="C21" s="23" t="s">
        <v>412</v>
      </c>
      <c r="D21" s="23" t="s">
        <v>413</v>
      </c>
      <c r="E21" s="23" t="s">
        <v>366</v>
      </c>
      <c r="F21" s="23" t="s">
        <v>414</v>
      </c>
      <c r="G21" s="23" t="s">
        <v>415</v>
      </c>
      <c r="H21" s="23" t="s">
        <v>300</v>
      </c>
      <c r="I21" s="23">
        <v>0.58</v>
      </c>
      <c r="J21" s="23">
        <v>2</v>
      </c>
      <c r="K21" s="23">
        <v>2</v>
      </c>
      <c r="L21" s="23" t="s">
        <v>416</v>
      </c>
      <c r="M21" s="23">
        <v>0</v>
      </c>
      <c r="N21" s="23">
        <v>0</v>
      </c>
      <c r="O21" s="23">
        <v>1</v>
      </c>
      <c r="P21" s="23">
        <v>0</v>
      </c>
      <c r="Q21" s="23">
        <v>0</v>
      </c>
      <c r="R21" s="23">
        <v>1</v>
      </c>
      <c r="S21" s="23">
        <v>0</v>
      </c>
      <c r="T21" s="23">
        <v>0</v>
      </c>
      <c r="U21" s="23">
        <v>0</v>
      </c>
      <c r="V21" s="23">
        <v>1</v>
      </c>
      <c r="W21" s="23">
        <v>0</v>
      </c>
      <c r="X21" s="23">
        <v>50</v>
      </c>
      <c r="Y21" s="23"/>
      <c r="Z21" s="23" t="s">
        <v>417</v>
      </c>
      <c r="AA21" s="23" t="s">
        <v>302</v>
      </c>
      <c r="AB21" s="23" t="s">
        <v>312</v>
      </c>
      <c r="AC21" s="23">
        <v>1</v>
      </c>
    </row>
    <row r="22" spans="1:29" s="20" customFormat="1" ht="71.25" customHeight="1">
      <c r="A22" s="23">
        <v>12</v>
      </c>
      <c r="B22" s="23" t="s">
        <v>294</v>
      </c>
      <c r="C22" s="23" t="s">
        <v>304</v>
      </c>
      <c r="D22" s="23" t="s">
        <v>382</v>
      </c>
      <c r="E22" s="23" t="s">
        <v>297</v>
      </c>
      <c r="F22" s="23" t="s">
        <v>418</v>
      </c>
      <c r="G22" s="23" t="s">
        <v>419</v>
      </c>
      <c r="H22" s="23" t="s">
        <v>300</v>
      </c>
      <c r="I22" s="23">
        <v>460.08</v>
      </c>
      <c r="J22" s="23">
        <v>2</v>
      </c>
      <c r="K22" s="23">
        <v>2</v>
      </c>
      <c r="L22" s="23" t="s">
        <v>420</v>
      </c>
      <c r="M22" s="23">
        <v>0</v>
      </c>
      <c r="N22" s="23">
        <v>0</v>
      </c>
      <c r="O22" s="23">
        <v>6</v>
      </c>
      <c r="P22" s="23">
        <v>0</v>
      </c>
      <c r="Q22" s="23">
        <v>0</v>
      </c>
      <c r="R22" s="23">
        <v>6</v>
      </c>
      <c r="S22" s="23">
        <v>0</v>
      </c>
      <c r="T22" s="23">
        <v>0</v>
      </c>
      <c r="U22" s="23">
        <v>6</v>
      </c>
      <c r="V22" s="23">
        <v>0</v>
      </c>
      <c r="W22" s="23">
        <v>0</v>
      </c>
      <c r="X22" s="23">
        <v>1700</v>
      </c>
      <c r="Y22" s="23"/>
      <c r="Z22" s="23" t="s">
        <v>421</v>
      </c>
      <c r="AA22" s="23" t="s">
        <v>386</v>
      </c>
      <c r="AB22" s="23" t="s">
        <v>422</v>
      </c>
      <c r="AC22" s="23">
        <v>1</v>
      </c>
    </row>
    <row r="23" spans="1:29" s="20" customFormat="1" ht="71.25" customHeight="1">
      <c r="A23" s="23">
        <v>13</v>
      </c>
      <c r="B23" s="23" t="s">
        <v>257</v>
      </c>
      <c r="C23" s="23" t="s">
        <v>323</v>
      </c>
      <c r="D23" s="23" t="s">
        <v>423</v>
      </c>
      <c r="E23" s="23" t="s">
        <v>366</v>
      </c>
      <c r="F23" s="23" t="s">
        <v>424</v>
      </c>
      <c r="G23" s="23" t="s">
        <v>425</v>
      </c>
      <c r="H23" s="23" t="s">
        <v>300</v>
      </c>
      <c r="I23" s="23">
        <v>1.42</v>
      </c>
      <c r="J23" s="23">
        <v>2</v>
      </c>
      <c r="K23" s="23">
        <v>2</v>
      </c>
      <c r="L23" s="23" t="s">
        <v>426</v>
      </c>
      <c r="M23" s="23">
        <v>0</v>
      </c>
      <c r="N23" s="23">
        <v>0</v>
      </c>
      <c r="O23" s="23">
        <v>1</v>
      </c>
      <c r="P23" s="23">
        <v>0</v>
      </c>
      <c r="Q23" s="23">
        <v>0</v>
      </c>
      <c r="R23" s="23">
        <v>1</v>
      </c>
      <c r="S23" s="23">
        <v>0</v>
      </c>
      <c r="T23" s="23">
        <v>0</v>
      </c>
      <c r="U23" s="23">
        <v>0</v>
      </c>
      <c r="V23" s="23">
        <v>1</v>
      </c>
      <c r="W23" s="23">
        <v>0</v>
      </c>
      <c r="X23" s="23">
        <v>200</v>
      </c>
      <c r="Y23" s="23"/>
      <c r="Z23" s="23" t="s">
        <v>427</v>
      </c>
      <c r="AA23" s="23" t="s">
        <v>332</v>
      </c>
      <c r="AB23" s="23" t="s">
        <v>376</v>
      </c>
      <c r="AC23" s="23">
        <v>1</v>
      </c>
    </row>
    <row r="24" spans="1:29" s="20" customFormat="1" ht="71.25" customHeight="1">
      <c r="A24" s="23">
        <v>14</v>
      </c>
      <c r="B24" s="23" t="s">
        <v>294</v>
      </c>
      <c r="C24" s="23" t="s">
        <v>323</v>
      </c>
      <c r="D24" s="23" t="s">
        <v>428</v>
      </c>
      <c r="E24" s="23" t="s">
        <v>306</v>
      </c>
      <c r="F24" s="23" t="s">
        <v>429</v>
      </c>
      <c r="G24" s="23" t="s">
        <v>430</v>
      </c>
      <c r="H24" s="23" t="s">
        <v>300</v>
      </c>
      <c r="I24" s="23">
        <v>0.67</v>
      </c>
      <c r="J24" s="23">
        <v>2</v>
      </c>
      <c r="K24" s="23">
        <v>2</v>
      </c>
      <c r="L24" s="23" t="s">
        <v>431</v>
      </c>
      <c r="M24" s="23">
        <v>0</v>
      </c>
      <c r="N24" s="23">
        <v>0</v>
      </c>
      <c r="O24" s="23">
        <v>57</v>
      </c>
      <c r="P24" s="23">
        <v>0</v>
      </c>
      <c r="Q24" s="23">
        <v>2</v>
      </c>
      <c r="R24" s="23">
        <v>55</v>
      </c>
      <c r="S24" s="23">
        <v>0</v>
      </c>
      <c r="T24" s="23">
        <v>0</v>
      </c>
      <c r="U24" s="23">
        <v>2</v>
      </c>
      <c r="V24" s="23">
        <v>55</v>
      </c>
      <c r="W24" s="23">
        <v>0</v>
      </c>
      <c r="X24" s="23">
        <v>3500</v>
      </c>
      <c r="Y24" s="23"/>
      <c r="Z24" s="23" t="s">
        <v>432</v>
      </c>
      <c r="AA24" s="23" t="s">
        <v>359</v>
      </c>
      <c r="AB24" s="23" t="s">
        <v>422</v>
      </c>
      <c r="AC24" s="23">
        <v>1</v>
      </c>
    </row>
    <row r="25" spans="1:29" ht="118.5">
      <c r="A25" s="23">
        <v>15</v>
      </c>
      <c r="B25" s="23" t="s">
        <v>294</v>
      </c>
      <c r="C25" s="23" t="s">
        <v>345</v>
      </c>
      <c r="D25" s="23" t="s">
        <v>433</v>
      </c>
      <c r="E25" s="23" t="s">
        <v>366</v>
      </c>
      <c r="F25" s="23" t="s">
        <v>434</v>
      </c>
      <c r="G25" s="23" t="s">
        <v>435</v>
      </c>
      <c r="H25" s="23" t="s">
        <v>300</v>
      </c>
      <c r="I25" s="23">
        <v>4.17</v>
      </c>
      <c r="J25" s="23">
        <v>2</v>
      </c>
      <c r="K25" s="23">
        <v>2</v>
      </c>
      <c r="L25" s="23" t="s">
        <v>436</v>
      </c>
      <c r="M25" s="23">
        <v>0</v>
      </c>
      <c r="N25" s="23">
        <v>0</v>
      </c>
      <c r="O25" s="23">
        <v>10</v>
      </c>
      <c r="P25" s="23">
        <v>0</v>
      </c>
      <c r="Q25" s="23">
        <v>4</v>
      </c>
      <c r="R25" s="23">
        <v>6</v>
      </c>
      <c r="S25" s="23">
        <v>0</v>
      </c>
      <c r="T25" s="23">
        <v>0</v>
      </c>
      <c r="U25" s="23">
        <v>0</v>
      </c>
      <c r="V25" s="23">
        <v>10</v>
      </c>
      <c r="W25" s="23">
        <v>0</v>
      </c>
      <c r="X25" s="23">
        <v>530</v>
      </c>
      <c r="Y25" s="23"/>
      <c r="Z25" s="23" t="s">
        <v>437</v>
      </c>
      <c r="AA25" s="23" t="s">
        <v>332</v>
      </c>
      <c r="AB25" s="23" t="s">
        <v>438</v>
      </c>
      <c r="AC25" s="23">
        <v>1</v>
      </c>
    </row>
  </sheetData>
  <sheetProtection/>
  <mergeCells count="31">
    <mergeCell ref="AC6:AC9"/>
    <mergeCell ref="S8:V8"/>
    <mergeCell ref="P8:R8"/>
    <mergeCell ref="Z8:Z9"/>
    <mergeCell ref="AA8:AA9"/>
    <mergeCell ref="A1:Q1"/>
    <mergeCell ref="A3:V3"/>
    <mergeCell ref="A4:V4"/>
    <mergeCell ref="A6:I6"/>
    <mergeCell ref="J6:J9"/>
    <mergeCell ref="M7:M9"/>
    <mergeCell ref="I7:I9"/>
    <mergeCell ref="O7:W7"/>
    <mergeCell ref="N7:N9"/>
    <mergeCell ref="G7:G9"/>
    <mergeCell ref="L6:X6"/>
    <mergeCell ref="W8:W9"/>
    <mergeCell ref="O8:O9"/>
    <mergeCell ref="X7:X9"/>
    <mergeCell ref="E7:E9"/>
    <mergeCell ref="AB8:AB9"/>
    <mergeCell ref="Z6:AB7"/>
    <mergeCell ref="H7:H9"/>
    <mergeCell ref="K6:K9"/>
    <mergeCell ref="Y6:Y9"/>
    <mergeCell ref="L7:L9"/>
    <mergeCell ref="A7:A9"/>
    <mergeCell ref="B7:B9"/>
    <mergeCell ref="C7:C9"/>
    <mergeCell ref="D7:D9"/>
    <mergeCell ref="F7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="70" zoomScaleNormal="70" zoomScalePageLayoutView="0" workbookViewId="0" topLeftCell="A6">
      <selection activeCell="A24" sqref="A24"/>
    </sheetView>
  </sheetViews>
  <sheetFormatPr defaultColWidth="9.140625" defaultRowHeight="12.75"/>
  <cols>
    <col min="1" max="1" width="9.140625" style="26" customWidth="1"/>
    <col min="2" max="2" width="18.28125" style="26" customWidth="1"/>
    <col min="3" max="5" width="9.140625" style="26" customWidth="1"/>
    <col min="6" max="6" width="18.28125" style="26" customWidth="1"/>
    <col min="7" max="7" width="16.140625" style="26" customWidth="1"/>
    <col min="8" max="9" width="9.140625" style="26" customWidth="1"/>
    <col min="10" max="16384" width="9.140625" style="24" customWidth="1"/>
  </cols>
  <sheetData>
    <row r="1" spans="1:17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9" ht="13.5">
      <c r="A2" s="24" t="s">
        <v>255</v>
      </c>
      <c r="B2" s="24"/>
      <c r="C2" s="24"/>
      <c r="D2" s="24"/>
      <c r="E2" s="24"/>
      <c r="F2" s="24"/>
      <c r="G2" s="24"/>
      <c r="H2" s="24"/>
      <c r="I2" s="24"/>
      <c r="P2" s="24" t="s">
        <v>353</v>
      </c>
      <c r="Q2" s="32" t="s">
        <v>371</v>
      </c>
      <c r="R2" s="26" t="s">
        <v>344</v>
      </c>
      <c r="S2" s="25">
        <v>2019</v>
      </c>
      <c r="T2" s="24" t="s">
        <v>256</v>
      </c>
      <c r="Y2" s="27"/>
      <c r="Z2" s="27"/>
      <c r="AA2" s="27"/>
      <c r="AB2" s="27"/>
      <c r="AC2" s="27"/>
    </row>
    <row r="3" spans="1:29" ht="12.75">
      <c r="A3" s="48" t="s">
        <v>257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Y3" s="27"/>
      <c r="Z3" s="27"/>
      <c r="AA3" s="27"/>
      <c r="AB3" s="27"/>
      <c r="AC3" s="27"/>
    </row>
    <row r="4" spans="1:29" ht="14.25">
      <c r="A4" s="49" t="s">
        <v>258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21"/>
      <c r="X4" s="21"/>
      <c r="Y4" s="21"/>
      <c r="Z4" s="21"/>
      <c r="AA4" s="21"/>
      <c r="AB4" s="21"/>
      <c r="AC4" s="21"/>
    </row>
    <row r="5" spans="1:29" s="26" customFormat="1" ht="27.75" customHeight="1" thickBot="1">
      <c r="A5" s="28"/>
      <c r="B5" s="28"/>
      <c r="C5" s="28"/>
      <c r="D5" s="28"/>
      <c r="E5" s="28"/>
      <c r="F5" s="2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  <c r="V5" s="24"/>
      <c r="W5" s="24"/>
      <c r="X5" s="24"/>
      <c r="Y5" s="24"/>
      <c r="Z5" s="24"/>
      <c r="AA5" s="24"/>
      <c r="AB5" s="24"/>
      <c r="AC5" s="24"/>
    </row>
    <row r="6" spans="1:29" ht="32.25" customHeight="1" thickBot="1">
      <c r="A6" s="51" t="s">
        <v>259</v>
      </c>
      <c r="B6" s="52"/>
      <c r="C6" s="52"/>
      <c r="D6" s="52"/>
      <c r="E6" s="52"/>
      <c r="F6" s="52"/>
      <c r="G6" s="52"/>
      <c r="H6" s="52"/>
      <c r="I6" s="53"/>
      <c r="J6" s="54" t="s">
        <v>260</v>
      </c>
      <c r="K6" s="45" t="s">
        <v>261</v>
      </c>
      <c r="L6" s="52" t="s">
        <v>262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45" t="s">
        <v>263</v>
      </c>
      <c r="Z6" s="56" t="s">
        <v>264</v>
      </c>
      <c r="AA6" s="57"/>
      <c r="AB6" s="58"/>
      <c r="AC6" s="43" t="s">
        <v>265</v>
      </c>
    </row>
    <row r="7" spans="1:29" ht="171.75" customHeight="1" thickBot="1">
      <c r="A7" s="45" t="s">
        <v>266</v>
      </c>
      <c r="B7" s="45" t="s">
        <v>267</v>
      </c>
      <c r="C7" s="45" t="s">
        <v>268</v>
      </c>
      <c r="D7" s="45" t="s">
        <v>269</v>
      </c>
      <c r="E7" s="45" t="s">
        <v>270</v>
      </c>
      <c r="F7" s="45" t="s">
        <v>271</v>
      </c>
      <c r="G7" s="45" t="s">
        <v>272</v>
      </c>
      <c r="H7" s="45" t="s">
        <v>273</v>
      </c>
      <c r="I7" s="45" t="s">
        <v>274</v>
      </c>
      <c r="J7" s="55"/>
      <c r="K7" s="46"/>
      <c r="L7" s="43" t="s">
        <v>275</v>
      </c>
      <c r="M7" s="45" t="s">
        <v>276</v>
      </c>
      <c r="N7" s="45" t="s">
        <v>277</v>
      </c>
      <c r="O7" s="51" t="s">
        <v>278</v>
      </c>
      <c r="P7" s="52"/>
      <c r="Q7" s="52"/>
      <c r="R7" s="52"/>
      <c r="S7" s="52"/>
      <c r="T7" s="52"/>
      <c r="U7" s="52"/>
      <c r="V7" s="52"/>
      <c r="W7" s="53"/>
      <c r="X7" s="45" t="s">
        <v>279</v>
      </c>
      <c r="Y7" s="46"/>
      <c r="Z7" s="59"/>
      <c r="AA7" s="60"/>
      <c r="AB7" s="61"/>
      <c r="AC7" s="44"/>
    </row>
    <row r="8" spans="1:29" ht="63.75" customHeight="1" thickBot="1">
      <c r="A8" s="46"/>
      <c r="B8" s="46"/>
      <c r="C8" s="46"/>
      <c r="D8" s="46"/>
      <c r="E8" s="46"/>
      <c r="F8" s="46"/>
      <c r="G8" s="46"/>
      <c r="H8" s="46"/>
      <c r="I8" s="46"/>
      <c r="J8" s="55"/>
      <c r="K8" s="46"/>
      <c r="L8" s="44"/>
      <c r="M8" s="46"/>
      <c r="N8" s="46"/>
      <c r="O8" s="45" t="s">
        <v>280</v>
      </c>
      <c r="P8" s="51" t="s">
        <v>281</v>
      </c>
      <c r="Q8" s="52"/>
      <c r="R8" s="53"/>
      <c r="S8" s="51" t="s">
        <v>282</v>
      </c>
      <c r="T8" s="52"/>
      <c r="U8" s="52"/>
      <c r="V8" s="53"/>
      <c r="W8" s="45" t="s">
        <v>283</v>
      </c>
      <c r="X8" s="46"/>
      <c r="Y8" s="46"/>
      <c r="Z8" s="45" t="s">
        <v>284</v>
      </c>
      <c r="AA8" s="45" t="s">
        <v>285</v>
      </c>
      <c r="AB8" s="45" t="s">
        <v>286</v>
      </c>
      <c r="AC8" s="44"/>
    </row>
    <row r="9" spans="1:29" ht="71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55"/>
      <c r="K9" s="46"/>
      <c r="L9" s="44"/>
      <c r="M9" s="46"/>
      <c r="N9" s="46"/>
      <c r="O9" s="46"/>
      <c r="P9" s="29" t="s">
        <v>287</v>
      </c>
      <c r="Q9" s="29" t="s">
        <v>288</v>
      </c>
      <c r="R9" s="29" t="s">
        <v>289</v>
      </c>
      <c r="S9" s="29" t="s">
        <v>290</v>
      </c>
      <c r="T9" s="29" t="s">
        <v>291</v>
      </c>
      <c r="U9" s="29" t="s">
        <v>292</v>
      </c>
      <c r="V9" s="29" t="s">
        <v>293</v>
      </c>
      <c r="W9" s="46"/>
      <c r="X9" s="46"/>
      <c r="Y9" s="46"/>
      <c r="Z9" s="46"/>
      <c r="AA9" s="46"/>
      <c r="AB9" s="46"/>
      <c r="AC9" s="44"/>
    </row>
    <row r="10" spans="1:29" ht="17.25" customHeight="1" thickBo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  <c r="AB10" s="30">
        <v>28</v>
      </c>
      <c r="AC10" s="30">
        <v>29</v>
      </c>
    </row>
    <row r="11" spans="1:30" ht="58.5" customHeight="1">
      <c r="A11" s="23">
        <v>1</v>
      </c>
      <c r="B11" s="23" t="s">
        <v>294</v>
      </c>
      <c r="C11" s="23" t="s">
        <v>295</v>
      </c>
      <c r="D11" s="23" t="s">
        <v>318</v>
      </c>
      <c r="E11" s="23" t="s">
        <v>319</v>
      </c>
      <c r="F11" s="23" t="s">
        <v>320</v>
      </c>
      <c r="G11" s="23" t="s">
        <v>321</v>
      </c>
      <c r="H11" s="23" t="s">
        <v>300</v>
      </c>
      <c r="I11" s="23">
        <v>1.47</v>
      </c>
      <c r="J11" s="23">
        <v>2</v>
      </c>
      <c r="K11" s="23">
        <v>2</v>
      </c>
      <c r="L11" s="23" t="s">
        <v>322</v>
      </c>
      <c r="M11" s="23">
        <v>0</v>
      </c>
      <c r="N11" s="23">
        <v>1</v>
      </c>
      <c r="O11" s="23">
        <v>1</v>
      </c>
      <c r="P11" s="23">
        <v>0</v>
      </c>
      <c r="Q11" s="23">
        <v>1</v>
      </c>
      <c r="R11" s="23">
        <v>0</v>
      </c>
      <c r="S11" s="23">
        <v>0</v>
      </c>
      <c r="T11" s="23">
        <v>0</v>
      </c>
      <c r="U11" s="23">
        <v>1</v>
      </c>
      <c r="V11" s="23">
        <v>0</v>
      </c>
      <c r="W11" s="23">
        <v>0</v>
      </c>
      <c r="X11" s="23">
        <v>750</v>
      </c>
      <c r="Y11" s="23"/>
      <c r="Z11" s="23"/>
      <c r="AA11" s="23" t="s">
        <v>311</v>
      </c>
      <c r="AB11" s="23" t="s">
        <v>303</v>
      </c>
      <c r="AC11" s="23">
        <v>0</v>
      </c>
      <c r="AD11" s="24">
        <f>I11*O11</f>
        <v>1.47</v>
      </c>
    </row>
    <row r="12" spans="1:30" ht="118.5">
      <c r="A12" s="23">
        <v>2</v>
      </c>
      <c r="B12" s="23" t="s">
        <v>294</v>
      </c>
      <c r="C12" s="23" t="s">
        <v>304</v>
      </c>
      <c r="D12" s="23" t="s">
        <v>305</v>
      </c>
      <c r="E12" s="23" t="s">
        <v>306</v>
      </c>
      <c r="F12" s="23" t="s">
        <v>307</v>
      </c>
      <c r="G12" s="23" t="s">
        <v>308</v>
      </c>
      <c r="H12" s="23" t="s">
        <v>309</v>
      </c>
      <c r="I12" s="23">
        <v>18.92</v>
      </c>
      <c r="J12" s="23">
        <v>2</v>
      </c>
      <c r="K12" s="23">
        <v>2</v>
      </c>
      <c r="L12" s="23" t="s">
        <v>310</v>
      </c>
      <c r="M12" s="23">
        <v>0</v>
      </c>
      <c r="N12" s="23">
        <v>0</v>
      </c>
      <c r="O12" s="23">
        <v>1</v>
      </c>
      <c r="P12" s="23">
        <v>0</v>
      </c>
      <c r="Q12" s="23">
        <v>0</v>
      </c>
      <c r="R12" s="23">
        <v>1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930</v>
      </c>
      <c r="Y12" s="23"/>
      <c r="Z12" s="23"/>
      <c r="AA12" s="23" t="s">
        <v>311</v>
      </c>
      <c r="AB12" s="23" t="s">
        <v>312</v>
      </c>
      <c r="AC12" s="23">
        <v>0</v>
      </c>
      <c r="AD12" s="24">
        <f aca="true" t="shared" si="0" ref="AD12:AD24">I12*O12</f>
        <v>18.92</v>
      </c>
    </row>
    <row r="13" spans="1:30" ht="52.5">
      <c r="A13" s="23">
        <v>3</v>
      </c>
      <c r="B13" s="23" t="s">
        <v>294</v>
      </c>
      <c r="C13" s="23" t="s">
        <v>304</v>
      </c>
      <c r="D13" s="23" t="s">
        <v>305</v>
      </c>
      <c r="E13" s="23" t="s">
        <v>306</v>
      </c>
      <c r="F13" s="23" t="s">
        <v>313</v>
      </c>
      <c r="G13" s="23" t="s">
        <v>314</v>
      </c>
      <c r="H13" s="23" t="s">
        <v>300</v>
      </c>
      <c r="I13" s="23">
        <v>0.92</v>
      </c>
      <c r="J13" s="23">
        <v>2</v>
      </c>
      <c r="K13" s="23">
        <v>2</v>
      </c>
      <c r="L13" s="23" t="s">
        <v>315</v>
      </c>
      <c r="M13" s="23">
        <v>1</v>
      </c>
      <c r="N13" s="23">
        <v>0</v>
      </c>
      <c r="O13" s="23">
        <v>41</v>
      </c>
      <c r="P13" s="23">
        <v>0</v>
      </c>
      <c r="Q13" s="23">
        <v>1</v>
      </c>
      <c r="R13" s="23">
        <v>40</v>
      </c>
      <c r="S13" s="23">
        <v>0</v>
      </c>
      <c r="T13" s="23">
        <v>0</v>
      </c>
      <c r="U13" s="23">
        <v>3</v>
      </c>
      <c r="V13" s="23">
        <v>38</v>
      </c>
      <c r="W13" s="23">
        <v>0</v>
      </c>
      <c r="X13" s="23"/>
      <c r="Y13" s="23"/>
      <c r="Z13" s="23"/>
      <c r="AA13" s="23" t="s">
        <v>316</v>
      </c>
      <c r="AB13" s="23" t="s">
        <v>317</v>
      </c>
      <c r="AC13" s="23">
        <v>1</v>
      </c>
      <c r="AD13" s="24">
        <f t="shared" si="0"/>
        <v>37.72</v>
      </c>
    </row>
    <row r="14" spans="1:30" ht="66">
      <c r="A14" s="23">
        <v>4</v>
      </c>
      <c r="B14" s="23" t="s">
        <v>294</v>
      </c>
      <c r="C14" s="23" t="s">
        <v>295</v>
      </c>
      <c r="D14" s="23" t="s">
        <v>296</v>
      </c>
      <c r="E14" s="23" t="s">
        <v>297</v>
      </c>
      <c r="F14" s="23" t="s">
        <v>298</v>
      </c>
      <c r="G14" s="23" t="s">
        <v>299</v>
      </c>
      <c r="H14" s="23" t="s">
        <v>300</v>
      </c>
      <c r="I14" s="23">
        <v>1.82</v>
      </c>
      <c r="J14" s="23">
        <v>2</v>
      </c>
      <c r="K14" s="23">
        <v>2</v>
      </c>
      <c r="L14" s="23" t="s">
        <v>301</v>
      </c>
      <c r="M14" s="23">
        <v>0</v>
      </c>
      <c r="N14" s="23">
        <v>1</v>
      </c>
      <c r="O14" s="23">
        <v>1</v>
      </c>
      <c r="P14" s="23">
        <v>0</v>
      </c>
      <c r="Q14" s="23">
        <v>1</v>
      </c>
      <c r="R14" s="23">
        <v>0</v>
      </c>
      <c r="S14" s="23">
        <v>0</v>
      </c>
      <c r="T14" s="23">
        <v>0</v>
      </c>
      <c r="U14" s="23">
        <v>1</v>
      </c>
      <c r="V14" s="23">
        <v>0</v>
      </c>
      <c r="W14" s="23">
        <v>0</v>
      </c>
      <c r="X14" s="23">
        <v>420</v>
      </c>
      <c r="Y14" s="23"/>
      <c r="Z14" s="23"/>
      <c r="AA14" s="23" t="s">
        <v>302</v>
      </c>
      <c r="AB14" s="23" t="s">
        <v>303</v>
      </c>
      <c r="AC14" s="23">
        <v>1</v>
      </c>
      <c r="AD14" s="24">
        <f t="shared" si="0"/>
        <v>1.82</v>
      </c>
    </row>
    <row r="15" spans="1:30" ht="52.5">
      <c r="A15" s="23">
        <v>5</v>
      </c>
      <c r="B15" s="23" t="s">
        <v>294</v>
      </c>
      <c r="C15" s="23" t="s">
        <v>323</v>
      </c>
      <c r="D15" s="23" t="s">
        <v>324</v>
      </c>
      <c r="E15" s="23" t="s">
        <v>297</v>
      </c>
      <c r="F15" s="23" t="s">
        <v>325</v>
      </c>
      <c r="G15" s="23" t="s">
        <v>326</v>
      </c>
      <c r="H15" s="23" t="s">
        <v>300</v>
      </c>
      <c r="I15" s="23">
        <v>0.72</v>
      </c>
      <c r="J15" s="23">
        <v>2</v>
      </c>
      <c r="K15" s="23">
        <v>2</v>
      </c>
      <c r="L15" s="23" t="s">
        <v>327</v>
      </c>
      <c r="M15" s="23">
        <v>0</v>
      </c>
      <c r="N15" s="23">
        <v>0</v>
      </c>
      <c r="O15" s="23">
        <v>12</v>
      </c>
      <c r="P15" s="23">
        <v>0</v>
      </c>
      <c r="Q15" s="23">
        <v>0</v>
      </c>
      <c r="R15" s="23">
        <v>12</v>
      </c>
      <c r="S15" s="23">
        <v>0</v>
      </c>
      <c r="T15" s="23">
        <v>0</v>
      </c>
      <c r="U15" s="23">
        <v>0</v>
      </c>
      <c r="V15" s="23">
        <v>12</v>
      </c>
      <c r="W15" s="23">
        <v>0</v>
      </c>
      <c r="X15" s="23">
        <v>200</v>
      </c>
      <c r="Y15" s="23"/>
      <c r="Z15" s="23"/>
      <c r="AA15" s="23" t="s">
        <v>328</v>
      </c>
      <c r="AB15" s="23" t="s">
        <v>312</v>
      </c>
      <c r="AC15" s="23">
        <v>1</v>
      </c>
      <c r="AD15" s="24">
        <f t="shared" si="0"/>
        <v>8.64</v>
      </c>
    </row>
    <row r="16" spans="1:30" ht="78.75">
      <c r="A16" s="23">
        <v>6</v>
      </c>
      <c r="B16" s="23" t="s">
        <v>294</v>
      </c>
      <c r="C16" s="23" t="s">
        <v>295</v>
      </c>
      <c r="D16" s="23" t="s">
        <v>318</v>
      </c>
      <c r="E16" s="23" t="s">
        <v>319</v>
      </c>
      <c r="F16" s="23" t="s">
        <v>329</v>
      </c>
      <c r="G16" s="23" t="s">
        <v>330</v>
      </c>
      <c r="H16" s="23" t="s">
        <v>300</v>
      </c>
      <c r="I16" s="23">
        <v>1.9</v>
      </c>
      <c r="J16" s="23">
        <v>2</v>
      </c>
      <c r="K16" s="23">
        <v>2</v>
      </c>
      <c r="L16" s="23" t="s">
        <v>331</v>
      </c>
      <c r="M16" s="23">
        <v>0</v>
      </c>
      <c r="N16" s="23">
        <v>1</v>
      </c>
      <c r="O16" s="23">
        <v>1</v>
      </c>
      <c r="P16" s="23">
        <v>0</v>
      </c>
      <c r="Q16" s="23">
        <v>1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3">
        <v>0</v>
      </c>
      <c r="X16" s="23">
        <v>800</v>
      </c>
      <c r="Y16" s="23"/>
      <c r="Z16" s="23"/>
      <c r="AA16" s="23" t="s">
        <v>332</v>
      </c>
      <c r="AB16" s="23" t="s">
        <v>333</v>
      </c>
      <c r="AC16" s="23">
        <v>1</v>
      </c>
      <c r="AD16" s="24">
        <f t="shared" si="0"/>
        <v>1.9</v>
      </c>
    </row>
    <row r="17" spans="1:30" ht="78.75">
      <c r="A17" s="31">
        <v>7</v>
      </c>
      <c r="B17" s="31" t="s">
        <v>294</v>
      </c>
      <c r="C17" s="31" t="s">
        <v>295</v>
      </c>
      <c r="D17" s="31" t="s">
        <v>334</v>
      </c>
      <c r="E17" s="31" t="s">
        <v>297</v>
      </c>
      <c r="F17" s="31" t="s">
        <v>335</v>
      </c>
      <c r="G17" s="31" t="s">
        <v>336</v>
      </c>
      <c r="H17" s="31" t="s">
        <v>300</v>
      </c>
      <c r="I17" s="31">
        <v>9.92</v>
      </c>
      <c r="J17" s="31">
        <v>2</v>
      </c>
      <c r="K17" s="31">
        <v>2</v>
      </c>
      <c r="L17" s="31" t="s">
        <v>337</v>
      </c>
      <c r="M17" s="31">
        <v>0</v>
      </c>
      <c r="N17" s="31">
        <v>0</v>
      </c>
      <c r="O17" s="31">
        <v>6</v>
      </c>
      <c r="P17" s="31">
        <v>0</v>
      </c>
      <c r="Q17" s="31">
        <v>0</v>
      </c>
      <c r="R17" s="31">
        <v>6</v>
      </c>
      <c r="S17" s="31">
        <v>0</v>
      </c>
      <c r="T17" s="31">
        <v>0</v>
      </c>
      <c r="U17" s="31">
        <v>6</v>
      </c>
      <c r="V17" s="31">
        <v>0</v>
      </c>
      <c r="W17" s="31">
        <v>0</v>
      </c>
      <c r="X17" s="31">
        <v>1000</v>
      </c>
      <c r="Y17" s="31"/>
      <c r="Z17" s="31"/>
      <c r="AA17" s="31" t="s">
        <v>338</v>
      </c>
      <c r="AB17" s="31" t="s">
        <v>339</v>
      </c>
      <c r="AC17" s="31">
        <v>1</v>
      </c>
      <c r="AD17" s="24">
        <f t="shared" si="0"/>
        <v>59.519999999999996</v>
      </c>
    </row>
    <row r="18" spans="1:30" ht="78.75">
      <c r="A18" s="31">
        <v>8</v>
      </c>
      <c r="B18" s="31" t="s">
        <v>294</v>
      </c>
      <c r="C18" s="31" t="s">
        <v>304</v>
      </c>
      <c r="D18" s="31" t="s">
        <v>334</v>
      </c>
      <c r="E18" s="31" t="s">
        <v>297</v>
      </c>
      <c r="F18" s="31" t="s">
        <v>340</v>
      </c>
      <c r="G18" s="31" t="s">
        <v>341</v>
      </c>
      <c r="H18" s="31" t="s">
        <v>300</v>
      </c>
      <c r="I18" s="31">
        <v>2.03</v>
      </c>
      <c r="J18" s="31">
        <v>2</v>
      </c>
      <c r="K18" s="31">
        <v>2</v>
      </c>
      <c r="L18" s="31" t="s">
        <v>337</v>
      </c>
      <c r="M18" s="31">
        <v>0</v>
      </c>
      <c r="N18" s="31">
        <v>0</v>
      </c>
      <c r="O18" s="31">
        <v>6</v>
      </c>
      <c r="P18" s="31">
        <v>0</v>
      </c>
      <c r="Q18" s="31">
        <v>0</v>
      </c>
      <c r="R18" s="31">
        <v>6</v>
      </c>
      <c r="S18" s="31">
        <v>0</v>
      </c>
      <c r="T18" s="31">
        <v>0</v>
      </c>
      <c r="U18" s="31">
        <v>6</v>
      </c>
      <c r="V18" s="31">
        <v>0</v>
      </c>
      <c r="W18" s="31">
        <v>0</v>
      </c>
      <c r="X18" s="31">
        <v>500</v>
      </c>
      <c r="Y18" s="31"/>
      <c r="Z18" s="31"/>
      <c r="AA18" s="31" t="s">
        <v>311</v>
      </c>
      <c r="AB18" s="31" t="s">
        <v>317</v>
      </c>
      <c r="AC18" s="31">
        <v>1</v>
      </c>
      <c r="AD18" s="24">
        <f t="shared" si="0"/>
        <v>12.18</v>
      </c>
    </row>
    <row r="19" spans="1:30" ht="123" customHeight="1">
      <c r="A19" s="31">
        <v>9</v>
      </c>
      <c r="B19" s="31" t="s">
        <v>294</v>
      </c>
      <c r="C19" s="31" t="s">
        <v>304</v>
      </c>
      <c r="D19" s="31" t="s">
        <v>334</v>
      </c>
      <c r="E19" s="31" t="s">
        <v>297</v>
      </c>
      <c r="F19" s="31" t="s">
        <v>341</v>
      </c>
      <c r="G19" s="31" t="s">
        <v>342</v>
      </c>
      <c r="H19" s="31" t="s">
        <v>300</v>
      </c>
      <c r="I19" s="31">
        <v>3.67</v>
      </c>
      <c r="J19" s="31">
        <v>2</v>
      </c>
      <c r="K19" s="31">
        <v>2</v>
      </c>
      <c r="L19" s="31" t="s">
        <v>343</v>
      </c>
      <c r="M19" s="31">
        <v>0</v>
      </c>
      <c r="N19" s="31">
        <v>0</v>
      </c>
      <c r="O19" s="31">
        <v>1</v>
      </c>
      <c r="P19" s="31">
        <v>0</v>
      </c>
      <c r="Q19" s="31">
        <v>0</v>
      </c>
      <c r="R19" s="31">
        <v>1</v>
      </c>
      <c r="S19" s="31">
        <v>0</v>
      </c>
      <c r="T19" s="31">
        <v>0</v>
      </c>
      <c r="U19" s="31">
        <v>1</v>
      </c>
      <c r="V19" s="31">
        <v>0</v>
      </c>
      <c r="W19" s="31">
        <v>0</v>
      </c>
      <c r="X19" s="31">
        <v>300</v>
      </c>
      <c r="Y19" s="31"/>
      <c r="Z19" s="31"/>
      <c r="AA19" s="31" t="s">
        <v>311</v>
      </c>
      <c r="AB19" s="31" t="s">
        <v>317</v>
      </c>
      <c r="AC19" s="31">
        <v>0</v>
      </c>
      <c r="AD19" s="24">
        <f t="shared" si="0"/>
        <v>3.67</v>
      </c>
    </row>
    <row r="20" spans="1:30" s="20" customFormat="1" ht="73.5" customHeight="1">
      <c r="A20" s="23">
        <v>10</v>
      </c>
      <c r="B20" s="23" t="s">
        <v>294</v>
      </c>
      <c r="C20" s="23" t="s">
        <v>345</v>
      </c>
      <c r="D20" s="23" t="s">
        <v>346</v>
      </c>
      <c r="E20" s="23" t="s">
        <v>306</v>
      </c>
      <c r="F20" s="23" t="s">
        <v>347</v>
      </c>
      <c r="G20" s="23" t="s">
        <v>348</v>
      </c>
      <c r="H20" s="23" t="s">
        <v>300</v>
      </c>
      <c r="I20" s="23">
        <v>1.82</v>
      </c>
      <c r="J20" s="23">
        <v>2</v>
      </c>
      <c r="K20" s="23">
        <v>2</v>
      </c>
      <c r="L20" s="23" t="s">
        <v>349</v>
      </c>
      <c r="M20" s="23">
        <v>0</v>
      </c>
      <c r="N20" s="23">
        <v>1</v>
      </c>
      <c r="O20" s="23">
        <v>10</v>
      </c>
      <c r="P20" s="23">
        <v>0</v>
      </c>
      <c r="Q20" s="23">
        <v>1</v>
      </c>
      <c r="R20" s="23">
        <v>9</v>
      </c>
      <c r="S20" s="23">
        <v>0</v>
      </c>
      <c r="T20" s="23">
        <v>0</v>
      </c>
      <c r="U20" s="23">
        <v>0</v>
      </c>
      <c r="V20" s="23">
        <v>10</v>
      </c>
      <c r="W20" s="23">
        <v>0</v>
      </c>
      <c r="X20" s="23">
        <v>350</v>
      </c>
      <c r="Y20" s="23"/>
      <c r="Z20" s="23"/>
      <c r="AA20" s="23" t="s">
        <v>350</v>
      </c>
      <c r="AB20" s="23" t="s">
        <v>303</v>
      </c>
      <c r="AC20" s="23">
        <v>1</v>
      </c>
      <c r="AD20" s="24">
        <f t="shared" si="0"/>
        <v>18.2</v>
      </c>
    </row>
    <row r="21" spans="1:30" s="20" customFormat="1" ht="66">
      <c r="A21" s="23">
        <v>11</v>
      </c>
      <c r="B21" s="23" t="s">
        <v>294</v>
      </c>
      <c r="C21" s="23" t="s">
        <v>345</v>
      </c>
      <c r="D21" s="23" t="s">
        <v>351</v>
      </c>
      <c r="E21" s="23" t="s">
        <v>306</v>
      </c>
      <c r="F21" s="23" t="s">
        <v>347</v>
      </c>
      <c r="G21" s="23" t="s">
        <v>348</v>
      </c>
      <c r="H21" s="23" t="s">
        <v>300</v>
      </c>
      <c r="I21" s="23">
        <v>1.82</v>
      </c>
      <c r="J21" s="23">
        <v>2</v>
      </c>
      <c r="K21" s="23">
        <v>2</v>
      </c>
      <c r="L21" s="23" t="s">
        <v>352</v>
      </c>
      <c r="M21" s="23">
        <v>0</v>
      </c>
      <c r="N21" s="23">
        <v>1</v>
      </c>
      <c r="O21" s="23">
        <v>7</v>
      </c>
      <c r="P21" s="23">
        <v>0</v>
      </c>
      <c r="Q21" s="23">
        <v>1</v>
      </c>
      <c r="R21" s="23">
        <v>6</v>
      </c>
      <c r="S21" s="23">
        <v>0</v>
      </c>
      <c r="T21" s="23">
        <v>0</v>
      </c>
      <c r="U21" s="23">
        <v>0</v>
      </c>
      <c r="V21" s="23">
        <v>7</v>
      </c>
      <c r="W21" s="23">
        <v>0</v>
      </c>
      <c r="X21" s="23">
        <v>450</v>
      </c>
      <c r="Y21" s="23"/>
      <c r="Z21" s="23"/>
      <c r="AA21" s="23" t="s">
        <v>350</v>
      </c>
      <c r="AB21" s="23" t="s">
        <v>303</v>
      </c>
      <c r="AC21" s="23">
        <v>1</v>
      </c>
      <c r="AD21" s="24">
        <f t="shared" si="0"/>
        <v>12.74</v>
      </c>
    </row>
    <row r="22" spans="1:30" ht="52.5">
      <c r="A22" s="23">
        <v>12</v>
      </c>
      <c r="B22" s="23" t="s">
        <v>294</v>
      </c>
      <c r="C22" s="23" t="s">
        <v>323</v>
      </c>
      <c r="D22" s="23" t="s">
        <v>354</v>
      </c>
      <c r="E22" s="23" t="s">
        <v>306</v>
      </c>
      <c r="F22" s="23" t="s">
        <v>355</v>
      </c>
      <c r="G22" s="23" t="s">
        <v>356</v>
      </c>
      <c r="H22" s="23" t="s">
        <v>300</v>
      </c>
      <c r="I22" s="23">
        <v>3.23</v>
      </c>
      <c r="J22" s="23">
        <v>2</v>
      </c>
      <c r="K22" s="23">
        <v>1</v>
      </c>
      <c r="L22" s="23" t="s">
        <v>357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/>
      <c r="Z22" s="23" t="s">
        <v>358</v>
      </c>
      <c r="AA22" s="23" t="s">
        <v>359</v>
      </c>
      <c r="AB22" s="23" t="s">
        <v>312</v>
      </c>
      <c r="AC22" s="23">
        <v>1</v>
      </c>
      <c r="AD22" s="24">
        <f t="shared" si="0"/>
        <v>0</v>
      </c>
    </row>
    <row r="23" spans="1:30" ht="52.5">
      <c r="A23" s="23">
        <v>13</v>
      </c>
      <c r="B23" s="23" t="s">
        <v>294</v>
      </c>
      <c r="C23" s="23" t="s">
        <v>323</v>
      </c>
      <c r="D23" s="23" t="s">
        <v>360</v>
      </c>
      <c r="E23" s="23" t="s">
        <v>306</v>
      </c>
      <c r="F23" s="23" t="s">
        <v>361</v>
      </c>
      <c r="G23" s="23" t="s">
        <v>362</v>
      </c>
      <c r="H23" s="23" t="s">
        <v>300</v>
      </c>
      <c r="I23" s="23">
        <v>0.02</v>
      </c>
      <c r="J23" s="23">
        <v>2</v>
      </c>
      <c r="K23" s="23">
        <v>1</v>
      </c>
      <c r="L23" s="23" t="s">
        <v>363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/>
      <c r="Z23" s="23" t="s">
        <v>364</v>
      </c>
      <c r="AA23" s="23" t="s">
        <v>359</v>
      </c>
      <c r="AB23" s="23" t="s">
        <v>312</v>
      </c>
      <c r="AC23" s="23">
        <v>1</v>
      </c>
      <c r="AD23" s="24">
        <f t="shared" si="0"/>
        <v>0</v>
      </c>
    </row>
    <row r="24" spans="1:30" ht="52.5">
      <c r="A24" s="23">
        <v>14</v>
      </c>
      <c r="B24" s="23" t="s">
        <v>294</v>
      </c>
      <c r="C24" s="23" t="s">
        <v>345</v>
      </c>
      <c r="D24" s="23" t="s">
        <v>365</v>
      </c>
      <c r="E24" s="23" t="s">
        <v>366</v>
      </c>
      <c r="F24" s="23" t="s">
        <v>367</v>
      </c>
      <c r="G24" s="23" t="s">
        <v>368</v>
      </c>
      <c r="H24" s="23" t="s">
        <v>300</v>
      </c>
      <c r="I24" s="23">
        <v>1.58</v>
      </c>
      <c r="J24" s="23">
        <v>2</v>
      </c>
      <c r="K24" s="23">
        <v>2</v>
      </c>
      <c r="L24" s="23" t="s">
        <v>369</v>
      </c>
      <c r="M24" s="23">
        <v>1</v>
      </c>
      <c r="N24" s="23">
        <v>0</v>
      </c>
      <c r="O24" s="23">
        <v>10</v>
      </c>
      <c r="P24" s="23">
        <v>0</v>
      </c>
      <c r="Q24" s="23">
        <v>6</v>
      </c>
      <c r="R24" s="23">
        <v>4</v>
      </c>
      <c r="S24" s="23">
        <v>0</v>
      </c>
      <c r="T24" s="23">
        <v>0</v>
      </c>
      <c r="U24" s="23">
        <v>0</v>
      </c>
      <c r="V24" s="23">
        <v>10</v>
      </c>
      <c r="W24" s="23">
        <v>0</v>
      </c>
      <c r="X24" s="23">
        <v>400</v>
      </c>
      <c r="Y24" s="23"/>
      <c r="Z24" s="23" t="s">
        <v>370</v>
      </c>
      <c r="AA24" s="23" t="s">
        <v>311</v>
      </c>
      <c r="AB24" s="23" t="s">
        <v>333</v>
      </c>
      <c r="AC24" s="23">
        <v>1</v>
      </c>
      <c r="AD24" s="24">
        <f t="shared" si="0"/>
        <v>15.8</v>
      </c>
    </row>
    <row r="25" spans="9:30" ht="13.5">
      <c r="I25" s="24">
        <f>SUM(I11:I24)</f>
        <v>49.84</v>
      </c>
      <c r="O25" s="24">
        <f>SUM(O11:O24)</f>
        <v>97</v>
      </c>
      <c r="AD25" s="24">
        <f>SUM(AD11:AD24)</f>
        <v>192.58</v>
      </c>
    </row>
  </sheetData>
  <sheetProtection/>
  <mergeCells count="31">
    <mergeCell ref="A1:Q1"/>
    <mergeCell ref="A3:V3"/>
    <mergeCell ref="A4:V4"/>
    <mergeCell ref="A6:I6"/>
    <mergeCell ref="J6:J9"/>
    <mergeCell ref="G7:G9"/>
    <mergeCell ref="L6:X6"/>
    <mergeCell ref="W8:W9"/>
    <mergeCell ref="O8:O9"/>
    <mergeCell ref="X7:X9"/>
    <mergeCell ref="AC6:AC9"/>
    <mergeCell ref="S8:V8"/>
    <mergeCell ref="P8:R8"/>
    <mergeCell ref="Z8:Z9"/>
    <mergeCell ref="AA8:AA9"/>
    <mergeCell ref="AB8:AB9"/>
    <mergeCell ref="Z6:AB7"/>
    <mergeCell ref="H7:H9"/>
    <mergeCell ref="K6:K9"/>
    <mergeCell ref="Y6:Y9"/>
    <mergeCell ref="L7:L9"/>
    <mergeCell ref="M7:M9"/>
    <mergeCell ref="I7:I9"/>
    <mergeCell ref="O7:W7"/>
    <mergeCell ref="N7:N9"/>
    <mergeCell ref="A7:A9"/>
    <mergeCell ref="B7:B9"/>
    <mergeCell ref="C7:C9"/>
    <mergeCell ref="D7:D9"/>
    <mergeCell ref="F7:F9"/>
    <mergeCell ref="E7:E9"/>
  </mergeCells>
  <printOptions/>
  <pageMargins left="0.28" right="0.15748031496062992" top="0.4330708661417323" bottom="0.4330708661417323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="70" zoomScaleNormal="70" zoomScalePageLayoutView="0" workbookViewId="0" topLeftCell="A1">
      <selection activeCell="B25" sqref="B25"/>
    </sheetView>
  </sheetViews>
  <sheetFormatPr defaultColWidth="9.140625" defaultRowHeight="12.75"/>
  <cols>
    <col min="1" max="1" width="4.57421875" style="1" customWidth="1"/>
    <col min="2" max="2" width="46.140625" style="1" customWidth="1"/>
    <col min="3" max="3" width="11.57421875" style="1" customWidth="1"/>
    <col min="4" max="4" width="14.7109375" style="1" customWidth="1"/>
    <col min="5" max="5" width="20.140625" style="1" customWidth="1"/>
    <col min="6" max="6" width="59.28125" style="1" customWidth="1"/>
    <col min="7" max="7" width="12.57421875" style="1" customWidth="1"/>
    <col min="8" max="8" width="51.7109375" style="1" customWidth="1"/>
    <col min="9" max="16384" width="9.140625" style="1" customWidth="1"/>
  </cols>
  <sheetData>
    <row r="1" spans="1:8" ht="21" customHeight="1">
      <c r="A1" s="66" t="s">
        <v>254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43.5" customHeight="1">
      <c r="A6" s="2">
        <v>1</v>
      </c>
      <c r="B6" s="14" t="s">
        <v>5</v>
      </c>
      <c r="C6" s="8">
        <v>1</v>
      </c>
      <c r="D6" s="9">
        <v>2</v>
      </c>
      <c r="E6" s="17" t="s">
        <v>247</v>
      </c>
      <c r="F6" s="12" t="s">
        <v>248</v>
      </c>
      <c r="G6" s="4">
        <v>300</v>
      </c>
      <c r="H6" s="12" t="s">
        <v>239</v>
      </c>
    </row>
    <row r="7" spans="1:8" ht="16.5" customHeight="1">
      <c r="A7" s="2">
        <v>2</v>
      </c>
      <c r="B7" s="3" t="s">
        <v>6</v>
      </c>
      <c r="C7" s="6">
        <f>(94+$C$68)/276</f>
        <v>0.427536231884058</v>
      </c>
      <c r="D7" s="9"/>
      <c r="E7" s="11"/>
      <c r="F7" s="12"/>
      <c r="G7" s="4"/>
      <c r="H7" s="12"/>
    </row>
    <row r="8" spans="1:8" ht="27" customHeight="1">
      <c r="A8" s="2">
        <v>3</v>
      </c>
      <c r="B8" s="3" t="s">
        <v>7</v>
      </c>
      <c r="C8" s="6">
        <f>(96+$C$68)/288</f>
        <v>0.4166666666666667</v>
      </c>
      <c r="D8" s="9"/>
      <c r="E8" s="17"/>
      <c r="F8" s="12"/>
      <c r="G8" s="4"/>
      <c r="H8" s="12"/>
    </row>
    <row r="9" spans="1:8" ht="31.5" customHeight="1">
      <c r="A9" s="2">
        <v>4</v>
      </c>
      <c r="B9" s="3" t="s">
        <v>8</v>
      </c>
      <c r="C9" s="6">
        <f>(101+$C$68)/312</f>
        <v>0.40064102564102566</v>
      </c>
      <c r="D9" s="9"/>
      <c r="E9" s="11"/>
      <c r="F9" s="12"/>
      <c r="G9" s="4"/>
      <c r="H9" s="12"/>
    </row>
    <row r="10" spans="1:8" ht="16.5" customHeight="1">
      <c r="A10" s="2">
        <v>5</v>
      </c>
      <c r="B10" s="3" t="s">
        <v>9</v>
      </c>
      <c r="C10" s="6">
        <f>(104+$C$68)/420</f>
        <v>0.3047619047619048</v>
      </c>
      <c r="D10" s="9"/>
      <c r="E10" s="11"/>
      <c r="F10" s="13"/>
      <c r="G10" s="4"/>
      <c r="H10" s="12"/>
    </row>
    <row r="11" spans="1:8" ht="16.5" customHeight="1">
      <c r="A11" s="2">
        <v>6</v>
      </c>
      <c r="B11" s="3" t="s">
        <v>10</v>
      </c>
      <c r="C11" s="6">
        <f>(104+$C$68)/420</f>
        <v>0.3047619047619048</v>
      </c>
      <c r="D11" s="9"/>
      <c r="E11" s="11"/>
      <c r="F11" s="12"/>
      <c r="G11" s="4"/>
      <c r="H11" s="12"/>
    </row>
    <row r="12" spans="1:8" ht="16.5" customHeight="1">
      <c r="A12" s="2">
        <v>7</v>
      </c>
      <c r="B12" s="3" t="s">
        <v>50</v>
      </c>
      <c r="C12" s="6">
        <f>(72+$C$68)/300</f>
        <v>0.32</v>
      </c>
      <c r="D12" s="9"/>
      <c r="E12" s="4"/>
      <c r="F12" s="12"/>
      <c r="G12" s="4"/>
      <c r="H12" s="12"/>
    </row>
    <row r="13" spans="1:8" ht="16.5" customHeight="1">
      <c r="A13" s="2">
        <v>8</v>
      </c>
      <c r="B13" s="3" t="s">
        <v>57</v>
      </c>
      <c r="C13" s="6">
        <f>(66+$C$68)/180</f>
        <v>0.5</v>
      </c>
      <c r="D13" s="9"/>
      <c r="E13" s="4"/>
      <c r="F13" s="12"/>
      <c r="G13" s="4"/>
      <c r="H13" s="12"/>
    </row>
    <row r="14" spans="1:8" ht="16.5" customHeight="1">
      <c r="A14" s="2">
        <v>9</v>
      </c>
      <c r="B14" s="3" t="s">
        <v>132</v>
      </c>
      <c r="C14" s="6">
        <f>(36+$C$68)/300</f>
        <v>0.2</v>
      </c>
      <c r="D14" s="9"/>
      <c r="E14" s="4"/>
      <c r="F14" s="12"/>
      <c r="G14" s="4"/>
      <c r="H14" s="12"/>
    </row>
    <row r="15" spans="1:8" ht="16.5" customHeight="1">
      <c r="A15" s="2">
        <v>10</v>
      </c>
      <c r="B15" s="3" t="s">
        <v>11</v>
      </c>
      <c r="C15" s="6">
        <f>(84+$C$68)/240</f>
        <v>0.45</v>
      </c>
      <c r="D15" s="9"/>
      <c r="E15" s="11"/>
      <c r="F15" s="12"/>
      <c r="G15" s="4"/>
      <c r="H15" s="12"/>
    </row>
    <row r="16" spans="1:8" ht="45.75" customHeight="1">
      <c r="A16" s="2">
        <v>11</v>
      </c>
      <c r="B16" s="3" t="s">
        <v>12</v>
      </c>
      <c r="C16" s="6">
        <f>(93+$C$68)/300</f>
        <v>0.39</v>
      </c>
      <c r="D16" s="9"/>
      <c r="E16" s="11"/>
      <c r="F16" s="12"/>
      <c r="G16" s="4"/>
      <c r="H16" s="12"/>
    </row>
    <row r="17" spans="1:8" ht="30.75" customHeight="1">
      <c r="A17" s="2">
        <v>12</v>
      </c>
      <c r="B17" s="3" t="s">
        <v>45</v>
      </c>
      <c r="C17" s="6">
        <f>(72+$C$68)/300</f>
        <v>0.32</v>
      </c>
      <c r="D17" s="19"/>
      <c r="E17" s="11"/>
      <c r="F17" s="12"/>
      <c r="G17" s="4"/>
      <c r="H17" s="12"/>
    </row>
    <row r="18" spans="1:8" ht="16.5" customHeight="1">
      <c r="A18" s="2">
        <v>13</v>
      </c>
      <c r="B18" s="3" t="s">
        <v>13</v>
      </c>
      <c r="C18" s="6">
        <f>(87+$C$68)/150</f>
        <v>0.74</v>
      </c>
      <c r="D18" s="19"/>
      <c r="E18" s="11"/>
      <c r="F18" s="12"/>
      <c r="G18" s="4"/>
      <c r="H18" s="12"/>
    </row>
    <row r="19" spans="1:8" ht="16.5" customHeight="1">
      <c r="A19" s="2">
        <v>14</v>
      </c>
      <c r="B19" s="3" t="s">
        <v>131</v>
      </c>
      <c r="C19" s="6">
        <f>(26+$C$68)/180</f>
        <v>0.2777777777777778</v>
      </c>
      <c r="D19" s="19"/>
      <c r="E19" s="11"/>
      <c r="F19" s="12"/>
      <c r="G19" s="4"/>
      <c r="H19" s="12"/>
    </row>
    <row r="20" spans="1:9" ht="16.5" customHeight="1">
      <c r="A20" s="2">
        <v>15</v>
      </c>
      <c r="B20" s="3" t="s">
        <v>14</v>
      </c>
      <c r="C20" s="6">
        <f>(88+$C$68)/300</f>
        <v>0.37333333333333335</v>
      </c>
      <c r="D20" s="19">
        <v>1</v>
      </c>
      <c r="E20" s="17" t="s">
        <v>230</v>
      </c>
      <c r="F20" s="12" t="s">
        <v>231</v>
      </c>
      <c r="G20" s="4">
        <v>0</v>
      </c>
      <c r="H20" s="12" t="s">
        <v>232</v>
      </c>
      <c r="I20" s="1" t="s">
        <v>249</v>
      </c>
    </row>
    <row r="21" spans="1:8" ht="56.25" customHeight="1">
      <c r="A21" s="2">
        <v>16</v>
      </c>
      <c r="B21" s="3" t="s">
        <v>41</v>
      </c>
      <c r="C21" s="6">
        <f>(77+$C$68)/180</f>
        <v>0.5611111111111111</v>
      </c>
      <c r="D21" s="19"/>
      <c r="E21" s="11"/>
      <c r="F21" s="12"/>
      <c r="G21" s="4"/>
      <c r="H21" s="12"/>
    </row>
    <row r="22" spans="1:8" ht="56.25" customHeight="1">
      <c r="A22" s="2">
        <v>17</v>
      </c>
      <c r="B22" s="3" t="s">
        <v>206</v>
      </c>
      <c r="C22" s="6">
        <f>(-5+$C$68)/180</f>
        <v>0.10555555555555556</v>
      </c>
      <c r="D22" s="19"/>
      <c r="E22" s="11"/>
      <c r="F22" s="12"/>
      <c r="G22" s="4"/>
      <c r="H22" s="12"/>
    </row>
    <row r="23" spans="1:8" ht="56.25" customHeight="1">
      <c r="A23" s="2">
        <v>18</v>
      </c>
      <c r="B23" s="3" t="s">
        <v>207</v>
      </c>
      <c r="C23" s="6">
        <f>(-9+$C$68)/180</f>
        <v>0.08333333333333333</v>
      </c>
      <c r="D23" s="19"/>
      <c r="E23" s="11"/>
      <c r="F23" s="12"/>
      <c r="G23" s="4"/>
      <c r="H23" s="12"/>
    </row>
    <row r="24" spans="1:8" ht="56.25" customHeight="1">
      <c r="A24" s="2">
        <v>19</v>
      </c>
      <c r="B24" s="3" t="s">
        <v>225</v>
      </c>
      <c r="C24" s="6">
        <f>(-12+$C$68)/180</f>
        <v>0.06666666666666667</v>
      </c>
      <c r="D24" s="19"/>
      <c r="E24" s="11"/>
      <c r="F24" s="12"/>
      <c r="G24" s="4"/>
      <c r="H24" s="12"/>
    </row>
    <row r="25" spans="1:8" ht="47.25" customHeight="1">
      <c r="A25" s="2">
        <v>20</v>
      </c>
      <c r="B25" s="3" t="s">
        <v>158</v>
      </c>
      <c r="C25" s="8" t="s">
        <v>139</v>
      </c>
      <c r="D25" s="19"/>
      <c r="E25" s="11"/>
      <c r="F25" s="12"/>
      <c r="G25" s="4"/>
      <c r="H25" s="12"/>
    </row>
    <row r="26" spans="1:8" ht="45" customHeight="1">
      <c r="A26" s="2">
        <v>21</v>
      </c>
      <c r="B26" s="16" t="s">
        <v>136</v>
      </c>
      <c r="C26" s="8" t="s">
        <v>139</v>
      </c>
      <c r="D26" s="19"/>
      <c r="E26" s="11"/>
      <c r="F26" s="12"/>
      <c r="G26" s="4"/>
      <c r="H26" s="12"/>
    </row>
    <row r="27" spans="1:8" ht="16.5" customHeight="1">
      <c r="A27" s="2">
        <v>22</v>
      </c>
      <c r="B27" s="3" t="s">
        <v>133</v>
      </c>
      <c r="C27" s="6">
        <f>(19+$C$68)/264</f>
        <v>0.16287878787878787</v>
      </c>
      <c r="D27" s="19"/>
      <c r="E27" s="11"/>
      <c r="F27" s="12"/>
      <c r="G27" s="4"/>
      <c r="H27" s="12"/>
    </row>
    <row r="28" spans="1:8" ht="16.5" customHeight="1">
      <c r="A28" s="2">
        <v>23</v>
      </c>
      <c r="B28" s="3" t="s">
        <v>134</v>
      </c>
      <c r="C28" s="6">
        <f>(19+$C$68)/264</f>
        <v>0.16287878787878787</v>
      </c>
      <c r="D28" s="19">
        <v>1</v>
      </c>
      <c r="E28" s="17" t="s">
        <v>243</v>
      </c>
      <c r="F28" s="12" t="s">
        <v>244</v>
      </c>
      <c r="G28" s="4">
        <v>350</v>
      </c>
      <c r="H28" s="12" t="s">
        <v>245</v>
      </c>
    </row>
    <row r="29" spans="1:8" ht="16.5" customHeight="1">
      <c r="A29" s="2">
        <v>24</v>
      </c>
      <c r="B29" s="3" t="s">
        <v>135</v>
      </c>
      <c r="C29" s="6">
        <f>(19+$C$68)/264</f>
        <v>0.16287878787878787</v>
      </c>
      <c r="D29" s="9"/>
      <c r="E29" s="11"/>
      <c r="F29" s="12"/>
      <c r="G29" s="4"/>
      <c r="H29" s="12"/>
    </row>
    <row r="30" spans="1:8" ht="15.75" customHeight="1">
      <c r="A30" s="2"/>
      <c r="B30" s="62" t="s">
        <v>18</v>
      </c>
      <c r="C30" s="63"/>
      <c r="D30" s="63"/>
      <c r="E30" s="63"/>
      <c r="F30" s="63"/>
      <c r="G30" s="63"/>
      <c r="H30" s="64"/>
    </row>
    <row r="31" spans="1:9" ht="51.75" customHeight="1">
      <c r="A31" s="2">
        <v>1</v>
      </c>
      <c r="B31" s="3" t="s">
        <v>15</v>
      </c>
      <c r="C31" s="6">
        <f>(101+$C$68)/408</f>
        <v>0.30637254901960786</v>
      </c>
      <c r="D31" s="9">
        <v>1</v>
      </c>
      <c r="E31" s="17" t="s">
        <v>234</v>
      </c>
      <c r="F31" s="13" t="s">
        <v>233</v>
      </c>
      <c r="G31" s="4">
        <v>0</v>
      </c>
      <c r="H31" s="12" t="s">
        <v>226</v>
      </c>
      <c r="I31" s="1" t="s">
        <v>249</v>
      </c>
    </row>
    <row r="32" spans="1:9" ht="82.5" customHeight="1">
      <c r="A32" s="2">
        <v>2</v>
      </c>
      <c r="B32" s="3" t="s">
        <v>16</v>
      </c>
      <c r="C32" s="6">
        <f>(101+$C$68)/408</f>
        <v>0.30637254901960786</v>
      </c>
      <c r="D32" s="9">
        <v>4</v>
      </c>
      <c r="E32" s="11" t="s">
        <v>235</v>
      </c>
      <c r="F32" s="13" t="s">
        <v>236</v>
      </c>
      <c r="G32" s="4" t="s">
        <v>237</v>
      </c>
      <c r="H32" s="12" t="s">
        <v>238</v>
      </c>
      <c r="I32" s="1" t="s">
        <v>250</v>
      </c>
    </row>
    <row r="33" spans="1:8" ht="16.5" customHeight="1">
      <c r="A33" s="2">
        <v>3</v>
      </c>
      <c r="B33" s="3" t="s">
        <v>34</v>
      </c>
      <c r="C33" s="6">
        <f>(94+$C$68)/276</f>
        <v>0.427536231884058</v>
      </c>
      <c r="D33" s="9"/>
      <c r="E33" s="4"/>
      <c r="F33" s="13"/>
      <c r="G33" s="4"/>
      <c r="H33" s="12"/>
    </row>
    <row r="34" spans="1:8" ht="16.5" customHeight="1">
      <c r="A34" s="2">
        <v>4</v>
      </c>
      <c r="B34" s="3" t="s">
        <v>35</v>
      </c>
      <c r="C34" s="6">
        <f>(94+$C$68)/276</f>
        <v>0.427536231884058</v>
      </c>
      <c r="D34" s="9"/>
      <c r="E34" s="4"/>
      <c r="F34" s="13"/>
      <c r="G34" s="4"/>
      <c r="H34" s="12"/>
    </row>
    <row r="35" spans="1:8" ht="15.75" customHeight="1">
      <c r="A35" s="2">
        <v>5</v>
      </c>
      <c r="B35" s="3" t="s">
        <v>36</v>
      </c>
      <c r="C35" s="6">
        <f>(96+$C$68)/300</f>
        <v>0.4</v>
      </c>
      <c r="D35" s="9">
        <v>1</v>
      </c>
      <c r="E35" s="11">
        <v>43449.260416666664</v>
      </c>
      <c r="F35" s="13" t="s">
        <v>252</v>
      </c>
      <c r="G35" s="4"/>
      <c r="H35" s="12" t="s">
        <v>253</v>
      </c>
    </row>
    <row r="36" spans="1:8" ht="16.5" customHeight="1">
      <c r="A36" s="2">
        <v>6</v>
      </c>
      <c r="B36" s="3" t="s">
        <v>37</v>
      </c>
      <c r="C36" s="6">
        <f>(96+$C$68)/300</f>
        <v>0.4</v>
      </c>
      <c r="D36" s="9"/>
      <c r="E36" s="11"/>
      <c r="F36" s="12"/>
      <c r="G36" s="4"/>
      <c r="H36" s="12"/>
    </row>
    <row r="37" spans="1:8" ht="16.5" customHeight="1">
      <c r="A37" s="2">
        <v>7</v>
      </c>
      <c r="B37" s="3" t="s">
        <v>32</v>
      </c>
      <c r="C37" s="6">
        <f>(101+$C$68)/312</f>
        <v>0.40064102564102566</v>
      </c>
      <c r="D37" s="9"/>
      <c r="E37" s="4"/>
      <c r="F37" s="13"/>
      <c r="G37" s="4"/>
      <c r="H37" s="12"/>
    </row>
    <row r="38" spans="1:8" ht="16.5" customHeight="1">
      <c r="A38" s="2">
        <v>8</v>
      </c>
      <c r="B38" s="3" t="s">
        <v>33</v>
      </c>
      <c r="C38" s="6">
        <f>(101+$C$68)/312</f>
        <v>0.40064102564102566</v>
      </c>
      <c r="D38" s="9"/>
      <c r="E38" s="4"/>
      <c r="F38" s="13"/>
      <c r="G38" s="4"/>
      <c r="H38" s="12"/>
    </row>
    <row r="39" spans="1:8" ht="32.25" customHeight="1">
      <c r="A39" s="2">
        <v>9</v>
      </c>
      <c r="B39" s="3" t="s">
        <v>31</v>
      </c>
      <c r="C39" s="6">
        <f>(106+$C$68)/300</f>
        <v>0.43333333333333335</v>
      </c>
      <c r="D39" s="9"/>
      <c r="E39" s="11"/>
      <c r="F39" s="13"/>
      <c r="G39" s="4"/>
      <c r="H39" s="12"/>
    </row>
    <row r="40" spans="1:8" ht="16.5" customHeight="1">
      <c r="A40" s="2">
        <v>10</v>
      </c>
      <c r="B40" s="3" t="s">
        <v>30</v>
      </c>
      <c r="C40" s="6">
        <f>(106+$C$68)/300</f>
        <v>0.43333333333333335</v>
      </c>
      <c r="D40" s="9"/>
      <c r="E40" s="11"/>
      <c r="F40" s="12"/>
      <c r="G40" s="4"/>
      <c r="H40" s="12"/>
    </row>
    <row r="41" spans="1:8" ht="16.5" customHeight="1">
      <c r="A41" s="2">
        <v>11</v>
      </c>
      <c r="B41" s="3" t="s">
        <v>38</v>
      </c>
      <c r="C41" s="6">
        <f>(84+$C$68)/240</f>
        <v>0.45</v>
      </c>
      <c r="D41" s="9"/>
      <c r="E41" s="4"/>
      <c r="F41" s="13"/>
      <c r="G41" s="4"/>
      <c r="H41" s="12"/>
    </row>
    <row r="42" spans="1:8" ht="16.5" customHeight="1">
      <c r="A42" s="2">
        <v>12</v>
      </c>
      <c r="B42" s="3" t="s">
        <v>19</v>
      </c>
      <c r="C42" s="6">
        <f>(101+$C$68)/264</f>
        <v>0.4734848484848485</v>
      </c>
      <c r="D42" s="9"/>
      <c r="E42" s="11"/>
      <c r="F42" s="13"/>
      <c r="G42" s="4"/>
      <c r="H42" s="12"/>
    </row>
    <row r="43" spans="1:8" ht="16.5" customHeight="1">
      <c r="A43" s="2">
        <v>13</v>
      </c>
      <c r="B43" s="3" t="s">
        <v>20</v>
      </c>
      <c r="C43" s="6">
        <f>(101+$C$68)/264</f>
        <v>0.4734848484848485</v>
      </c>
      <c r="D43" s="9"/>
      <c r="E43" s="11"/>
      <c r="F43" s="13"/>
      <c r="G43" s="4"/>
      <c r="H43" s="12"/>
    </row>
    <row r="44" spans="1:8" ht="16.5" customHeight="1">
      <c r="A44" s="2">
        <v>14</v>
      </c>
      <c r="B44" s="3" t="s">
        <v>21</v>
      </c>
      <c r="C44" s="6">
        <f>(101+$C$68)/264</f>
        <v>0.4734848484848485</v>
      </c>
      <c r="D44" s="9"/>
      <c r="E44" s="11"/>
      <c r="F44" s="13"/>
      <c r="G44" s="4"/>
      <c r="H44" s="12"/>
    </row>
    <row r="45" spans="1:8" ht="16.5" customHeight="1">
      <c r="A45" s="2">
        <v>15</v>
      </c>
      <c r="B45" s="3" t="s">
        <v>22</v>
      </c>
      <c r="C45" s="6">
        <f>(101+$C$68)/264</f>
        <v>0.4734848484848485</v>
      </c>
      <c r="D45" s="9"/>
      <c r="E45" s="11"/>
      <c r="F45" s="13"/>
      <c r="G45" s="4"/>
      <c r="H45" s="12"/>
    </row>
    <row r="46" spans="1:8" ht="16.5" customHeight="1">
      <c r="A46" s="2">
        <v>16</v>
      </c>
      <c r="B46" s="3" t="s">
        <v>23</v>
      </c>
      <c r="C46" s="6">
        <f>(106+$C$68)/300</f>
        <v>0.43333333333333335</v>
      </c>
      <c r="D46" s="9"/>
      <c r="E46" s="4"/>
      <c r="F46" s="12"/>
      <c r="G46" s="4"/>
      <c r="H46" s="12"/>
    </row>
    <row r="47" spans="1:8" ht="16.5" customHeight="1">
      <c r="A47" s="2">
        <v>17</v>
      </c>
      <c r="B47" s="3" t="s">
        <v>24</v>
      </c>
      <c r="C47" s="6">
        <f>(106+$C$68)/300</f>
        <v>0.43333333333333335</v>
      </c>
      <c r="D47" s="9"/>
      <c r="E47" s="4"/>
      <c r="F47" s="12"/>
      <c r="G47" s="4"/>
      <c r="H47" s="12"/>
    </row>
    <row r="48" spans="1:8" ht="16.5" customHeight="1">
      <c r="A48" s="2">
        <v>18</v>
      </c>
      <c r="B48" s="3" t="s">
        <v>60</v>
      </c>
      <c r="C48" s="6">
        <f>(66+$C$68)/180</f>
        <v>0.5</v>
      </c>
      <c r="D48" s="9"/>
      <c r="E48" s="4"/>
      <c r="F48" s="12"/>
      <c r="G48" s="4"/>
      <c r="H48" s="12"/>
    </row>
    <row r="49" spans="1:8" ht="16.5" customHeight="1">
      <c r="A49" s="2">
        <v>19</v>
      </c>
      <c r="B49" s="3" t="s">
        <v>61</v>
      </c>
      <c r="C49" s="6">
        <f>(66+$C$68)/180</f>
        <v>0.5</v>
      </c>
      <c r="D49" s="9"/>
      <c r="E49" s="4"/>
      <c r="F49" s="12"/>
      <c r="G49" s="4"/>
      <c r="H49" s="12"/>
    </row>
    <row r="50" spans="1:8" ht="16.5" customHeight="1">
      <c r="A50" s="2">
        <v>20</v>
      </c>
      <c r="B50" s="3" t="s">
        <v>53</v>
      </c>
      <c r="C50" s="6">
        <f>(72+$C$68)/300</f>
        <v>0.32</v>
      </c>
      <c r="D50" s="9"/>
      <c r="E50" s="11"/>
      <c r="F50" s="12"/>
      <c r="G50" s="4"/>
      <c r="H50" s="12"/>
    </row>
    <row r="51" spans="1:8" ht="16.5" customHeight="1">
      <c r="A51" s="2">
        <v>21</v>
      </c>
      <c r="B51" s="3" t="s">
        <v>52</v>
      </c>
      <c r="C51" s="6">
        <f>(72+$C$68)/300</f>
        <v>0.32</v>
      </c>
      <c r="D51" s="9"/>
      <c r="E51" s="4"/>
      <c r="F51" s="12"/>
      <c r="G51" s="4"/>
      <c r="H51" s="12"/>
    </row>
    <row r="52" spans="1:8" ht="16.5" customHeight="1">
      <c r="A52" s="2">
        <v>22</v>
      </c>
      <c r="B52" s="3" t="s">
        <v>43</v>
      </c>
      <c r="C52" s="6">
        <f>(88+$C$68)/300</f>
        <v>0.37333333333333335</v>
      </c>
      <c r="D52" s="9"/>
      <c r="E52" s="4"/>
      <c r="F52" s="12"/>
      <c r="G52" s="4"/>
      <c r="H52" s="12"/>
    </row>
    <row r="53" spans="1:8" ht="16.5" customHeight="1">
      <c r="A53" s="2">
        <v>23</v>
      </c>
      <c r="B53" s="3" t="s">
        <v>44</v>
      </c>
      <c r="C53" s="6">
        <f>(88+$C$68)/300</f>
        <v>0.37333333333333335</v>
      </c>
      <c r="D53" s="9"/>
      <c r="E53" s="4"/>
      <c r="F53" s="12"/>
      <c r="G53" s="4"/>
      <c r="H53" s="12"/>
    </row>
    <row r="54" spans="1:8" ht="16.5" customHeight="1">
      <c r="A54" s="2">
        <v>24</v>
      </c>
      <c r="B54" s="3" t="s">
        <v>154</v>
      </c>
      <c r="C54" s="6">
        <f>(36+$C$68)/300</f>
        <v>0.2</v>
      </c>
      <c r="D54" s="9"/>
      <c r="E54" s="4"/>
      <c r="F54" s="12"/>
      <c r="G54" s="4"/>
      <c r="H54" s="12"/>
    </row>
    <row r="55" spans="1:8" ht="16.5" customHeight="1">
      <c r="A55" s="2">
        <v>25</v>
      </c>
      <c r="B55" s="3" t="s">
        <v>155</v>
      </c>
      <c r="C55" s="6">
        <f>(36+$C$68)/300</f>
        <v>0.2</v>
      </c>
      <c r="D55" s="9"/>
      <c r="E55" s="4"/>
      <c r="F55" s="12"/>
      <c r="G55" s="4"/>
      <c r="H55" s="12"/>
    </row>
    <row r="56" spans="1:8" ht="16.5" customHeight="1">
      <c r="A56" s="2">
        <v>26</v>
      </c>
      <c r="B56" s="3" t="s">
        <v>46</v>
      </c>
      <c r="C56" s="6">
        <f>(72+$C$68)/300</f>
        <v>0.32</v>
      </c>
      <c r="D56" s="9"/>
      <c r="E56" s="4"/>
      <c r="F56" s="12"/>
      <c r="G56" s="4"/>
      <c r="H56" s="12"/>
    </row>
    <row r="57" spans="1:8" ht="16.5" customHeight="1">
      <c r="A57" s="2">
        <v>27</v>
      </c>
      <c r="B57" s="3" t="s">
        <v>47</v>
      </c>
      <c r="C57" s="6">
        <f>(72+$C$68)/300</f>
        <v>0.32</v>
      </c>
      <c r="D57" s="9"/>
      <c r="E57" s="4"/>
      <c r="F57" s="12"/>
      <c r="G57" s="4"/>
      <c r="H57" s="12"/>
    </row>
    <row r="58" spans="1:8" ht="16.5" customHeight="1">
      <c r="A58" s="2">
        <v>28</v>
      </c>
      <c r="B58" s="15" t="s">
        <v>120</v>
      </c>
      <c r="C58" s="6">
        <f>(30+$C$68)/180</f>
        <v>0.3</v>
      </c>
      <c r="D58" s="9"/>
      <c r="E58" s="4"/>
      <c r="F58" s="12"/>
      <c r="G58" s="4"/>
      <c r="H58" s="12"/>
    </row>
    <row r="59" spans="1:8" ht="16.5" customHeight="1">
      <c r="A59" s="2">
        <v>29</v>
      </c>
      <c r="B59" s="3" t="s">
        <v>121</v>
      </c>
      <c r="C59" s="6">
        <f>(30+$C$68)/180</f>
        <v>0.3</v>
      </c>
      <c r="D59" s="9"/>
      <c r="E59" s="4"/>
      <c r="F59" s="12"/>
      <c r="G59" s="4"/>
      <c r="H59" s="12"/>
    </row>
    <row r="60" spans="1:8" ht="16.5" customHeight="1">
      <c r="A60" s="2">
        <v>30</v>
      </c>
      <c r="B60" s="3" t="s">
        <v>208</v>
      </c>
      <c r="C60" s="6">
        <f>(-9+$C$68)/180</f>
        <v>0.08333333333333333</v>
      </c>
      <c r="D60" s="9"/>
      <c r="E60" s="4"/>
      <c r="F60" s="12"/>
      <c r="G60" s="4"/>
      <c r="H60" s="12"/>
    </row>
    <row r="61" spans="1:8" ht="16.5" customHeight="1">
      <c r="A61" s="2">
        <v>31</v>
      </c>
      <c r="B61" s="3" t="s">
        <v>246</v>
      </c>
      <c r="C61" s="6">
        <f>(-18+$C$68)/180</f>
        <v>0.03333333333333333</v>
      </c>
      <c r="D61" s="9"/>
      <c r="E61" s="4"/>
      <c r="F61" s="12"/>
      <c r="G61" s="4"/>
      <c r="H61" s="12"/>
    </row>
    <row r="62" spans="1:8" ht="16.5" customHeight="1">
      <c r="A62" s="2">
        <v>32</v>
      </c>
      <c r="B62" s="3" t="s">
        <v>251</v>
      </c>
      <c r="C62" s="6">
        <f>(-21+$C$68)/180</f>
        <v>0.016666666666666666</v>
      </c>
      <c r="D62" s="9"/>
      <c r="E62" s="4"/>
      <c r="F62" s="12"/>
      <c r="G62" s="4"/>
      <c r="H62" s="12"/>
    </row>
    <row r="63" spans="1:8" ht="16.5" customHeight="1">
      <c r="A63" s="2">
        <v>33</v>
      </c>
      <c r="B63" s="3" t="s">
        <v>122</v>
      </c>
      <c r="C63" s="6">
        <f>(36+$C$68)/180</f>
        <v>0.3333333333333333</v>
      </c>
      <c r="D63" s="9"/>
      <c r="E63" s="4"/>
      <c r="F63" s="12"/>
      <c r="G63" s="4"/>
      <c r="H63" s="12"/>
    </row>
    <row r="64" spans="1:8" ht="16.5" customHeight="1">
      <c r="A64" s="2">
        <v>34</v>
      </c>
      <c r="B64" s="3" t="s">
        <v>146</v>
      </c>
      <c r="C64" s="6">
        <f>(30+$C$68)/180</f>
        <v>0.3</v>
      </c>
      <c r="D64" s="9">
        <v>1</v>
      </c>
      <c r="E64" s="17" t="s">
        <v>227</v>
      </c>
      <c r="F64" s="12" t="s">
        <v>228</v>
      </c>
      <c r="G64" s="4">
        <v>100</v>
      </c>
      <c r="H64" s="12" t="s">
        <v>229</v>
      </c>
    </row>
    <row r="65" spans="1:8" ht="16.5" customHeight="1">
      <c r="A65" s="2">
        <v>35</v>
      </c>
      <c r="B65" s="3" t="s">
        <v>156</v>
      </c>
      <c r="C65" s="6">
        <f>(11+$C$68)/180</f>
        <v>0.19444444444444445</v>
      </c>
      <c r="D65" s="9"/>
      <c r="E65" s="11"/>
      <c r="F65" s="12"/>
      <c r="G65" s="4"/>
      <c r="H65" s="12"/>
    </row>
    <row r="66" spans="1:8" ht="16.5" customHeight="1">
      <c r="A66" s="2">
        <v>36</v>
      </c>
      <c r="B66" s="3" t="s">
        <v>29</v>
      </c>
      <c r="C66" s="6">
        <f>(84+$C$68)/300</f>
        <v>0.36</v>
      </c>
      <c r="D66" s="9"/>
      <c r="E66" s="4"/>
      <c r="F66" s="12"/>
      <c r="G66" s="4"/>
      <c r="H66" s="12"/>
    </row>
    <row r="67" spans="1:8" ht="37.5" customHeight="1">
      <c r="A67" s="2">
        <v>37</v>
      </c>
      <c r="B67" s="3" t="s">
        <v>157</v>
      </c>
      <c r="C67" s="6">
        <f>(77+$C$68)/180</f>
        <v>0.5611111111111111</v>
      </c>
      <c r="D67" s="9">
        <v>1</v>
      </c>
      <c r="E67" s="17" t="s">
        <v>240</v>
      </c>
      <c r="F67" s="13" t="s">
        <v>241</v>
      </c>
      <c r="G67" s="4">
        <v>500</v>
      </c>
      <c r="H67" s="12" t="s">
        <v>242</v>
      </c>
    </row>
    <row r="68" spans="3:8" ht="15">
      <c r="C68" s="7">
        <f>12+12</f>
        <v>24</v>
      </c>
      <c r="D68" s="7"/>
      <c r="E68" s="5"/>
      <c r="F68" s="5"/>
      <c r="G68" s="5"/>
      <c r="H68" s="5"/>
    </row>
    <row r="69" spans="1:8" ht="14.25" customHeight="1">
      <c r="A69" s="1" t="s">
        <v>40</v>
      </c>
      <c r="B69" s="65" t="s">
        <v>115</v>
      </c>
      <c r="C69" s="65"/>
      <c r="D69" s="65"/>
      <c r="E69" s="65"/>
      <c r="F69" s="65"/>
      <c r="G69" s="65"/>
      <c r="H69" s="65"/>
    </row>
  </sheetData>
  <sheetProtection/>
  <mergeCells count="6">
    <mergeCell ref="B30:H30"/>
    <mergeCell ref="B69:H69"/>
    <mergeCell ref="A1:H1"/>
    <mergeCell ref="A2:H2"/>
    <mergeCell ref="A3:H3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="70" zoomScaleNormal="70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1" customWidth="1"/>
    <col min="2" max="2" width="46.140625" style="1" customWidth="1"/>
    <col min="3" max="3" width="11.57421875" style="1" customWidth="1"/>
    <col min="4" max="4" width="14.7109375" style="1" customWidth="1"/>
    <col min="5" max="5" width="17.8515625" style="1" customWidth="1"/>
    <col min="6" max="6" width="59.28125" style="1" customWidth="1"/>
    <col min="7" max="7" width="12.57421875" style="1" customWidth="1"/>
    <col min="8" max="8" width="51.7109375" style="1" customWidth="1"/>
    <col min="9" max="16384" width="9.140625" style="1" customWidth="1"/>
  </cols>
  <sheetData>
    <row r="1" spans="1:8" ht="21" customHeight="1">
      <c r="A1" s="66" t="s">
        <v>224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43.5" customHeight="1">
      <c r="A6" s="2">
        <v>1</v>
      </c>
      <c r="B6" s="14" t="s">
        <v>5</v>
      </c>
      <c r="C6" s="8">
        <v>1</v>
      </c>
      <c r="D6" s="9">
        <v>3</v>
      </c>
      <c r="E6" s="17" t="s">
        <v>221</v>
      </c>
      <c r="F6" s="12" t="s">
        <v>222</v>
      </c>
      <c r="G6" s="4" t="s">
        <v>212</v>
      </c>
      <c r="H6" s="12" t="s">
        <v>223</v>
      </c>
    </row>
    <row r="7" spans="1:8" ht="16.5" customHeight="1">
      <c r="A7" s="2">
        <v>2</v>
      </c>
      <c r="B7" s="3" t="s">
        <v>6</v>
      </c>
      <c r="C7" s="6">
        <f>(94+$C$65)/276</f>
        <v>0.38405797101449274</v>
      </c>
      <c r="D7" s="9"/>
      <c r="E7" s="11"/>
      <c r="F7" s="12"/>
      <c r="G7" s="4"/>
      <c r="H7" s="12"/>
    </row>
    <row r="8" spans="1:8" ht="27" customHeight="1">
      <c r="A8" s="2">
        <v>3</v>
      </c>
      <c r="B8" s="3" t="s">
        <v>7</v>
      </c>
      <c r="C8" s="6">
        <f>(96+$C$65)/288</f>
        <v>0.375</v>
      </c>
      <c r="D8" s="9">
        <v>1</v>
      </c>
      <c r="E8" s="17" t="s">
        <v>214</v>
      </c>
      <c r="F8" s="12" t="s">
        <v>216</v>
      </c>
      <c r="G8" s="4">
        <v>200</v>
      </c>
      <c r="H8" s="12" t="s">
        <v>215</v>
      </c>
    </row>
    <row r="9" spans="1:8" ht="31.5" customHeight="1">
      <c r="A9" s="2">
        <v>4</v>
      </c>
      <c r="B9" s="3" t="s">
        <v>8</v>
      </c>
      <c r="C9" s="6">
        <f>(101+$C$65)/312</f>
        <v>0.36217948717948717</v>
      </c>
      <c r="D9" s="9">
        <v>2</v>
      </c>
      <c r="E9" s="11" t="s">
        <v>217</v>
      </c>
      <c r="F9" s="12" t="s">
        <v>218</v>
      </c>
      <c r="G9" s="4" t="s">
        <v>219</v>
      </c>
      <c r="H9" s="12" t="s">
        <v>220</v>
      </c>
    </row>
    <row r="10" spans="1:8" ht="16.5" customHeight="1">
      <c r="A10" s="2">
        <v>5</v>
      </c>
      <c r="B10" s="3" t="s">
        <v>9</v>
      </c>
      <c r="C10" s="6">
        <f>(104+$C$65)/420</f>
        <v>0.2761904761904762</v>
      </c>
      <c r="D10" s="9">
        <v>1</v>
      </c>
      <c r="E10" s="11">
        <v>42899</v>
      </c>
      <c r="F10" s="13" t="s">
        <v>199</v>
      </c>
      <c r="G10" s="4">
        <v>0</v>
      </c>
      <c r="H10" s="12" t="s">
        <v>200</v>
      </c>
    </row>
    <row r="11" spans="1:8" ht="16.5" customHeight="1">
      <c r="A11" s="2">
        <v>6</v>
      </c>
      <c r="B11" s="3" t="s">
        <v>10</v>
      </c>
      <c r="C11" s="6">
        <f>(104+$C$65)/420</f>
        <v>0.2761904761904762</v>
      </c>
      <c r="D11" s="9"/>
      <c r="E11" s="11"/>
      <c r="F11" s="12"/>
      <c r="G11" s="4"/>
      <c r="H11" s="12"/>
    </row>
    <row r="12" spans="1:8" ht="16.5" customHeight="1">
      <c r="A12" s="2">
        <v>7</v>
      </c>
      <c r="B12" s="3" t="s">
        <v>50</v>
      </c>
      <c r="C12" s="6">
        <f>(72+$C$65)/300</f>
        <v>0.28</v>
      </c>
      <c r="D12" s="9"/>
      <c r="E12" s="4"/>
      <c r="F12" s="12"/>
      <c r="G12" s="4"/>
      <c r="H12" s="12"/>
    </row>
    <row r="13" spans="1:8" ht="16.5" customHeight="1">
      <c r="A13" s="2">
        <v>8</v>
      </c>
      <c r="B13" s="3" t="s">
        <v>57</v>
      </c>
      <c r="C13" s="6">
        <f>(66+$C$65)/180</f>
        <v>0.43333333333333335</v>
      </c>
      <c r="D13" s="9"/>
      <c r="E13" s="4"/>
      <c r="F13" s="12"/>
      <c r="G13" s="4"/>
      <c r="H13" s="12"/>
    </row>
    <row r="14" spans="1:8" ht="16.5" customHeight="1">
      <c r="A14" s="2">
        <v>9</v>
      </c>
      <c r="B14" s="3" t="s">
        <v>132</v>
      </c>
      <c r="C14" s="6">
        <f>(36+$C$65)/300</f>
        <v>0.16</v>
      </c>
      <c r="D14" s="9"/>
      <c r="E14" s="4"/>
      <c r="F14" s="12"/>
      <c r="G14" s="4"/>
      <c r="H14" s="12"/>
    </row>
    <row r="15" spans="1:8" ht="16.5" customHeight="1">
      <c r="A15" s="2">
        <v>10</v>
      </c>
      <c r="B15" s="3" t="s">
        <v>11</v>
      </c>
      <c r="C15" s="6">
        <f>(84+$C$65)/240</f>
        <v>0.4</v>
      </c>
      <c r="D15" s="9"/>
      <c r="E15" s="11"/>
      <c r="F15" s="12"/>
      <c r="G15" s="4"/>
      <c r="H15" s="12"/>
    </row>
    <row r="16" spans="1:8" ht="45.75" customHeight="1">
      <c r="A16" s="2">
        <v>11</v>
      </c>
      <c r="B16" s="3" t="s">
        <v>12</v>
      </c>
      <c r="C16" s="6">
        <f>(93+$C$65)/300</f>
        <v>0.35</v>
      </c>
      <c r="D16" s="9"/>
      <c r="E16" s="11"/>
      <c r="F16" s="12"/>
      <c r="G16" s="4"/>
      <c r="H16" s="12"/>
    </row>
    <row r="17" spans="1:8" ht="30.75" customHeight="1">
      <c r="A17" s="2">
        <v>12</v>
      </c>
      <c r="B17" s="3" t="s">
        <v>45</v>
      </c>
      <c r="C17" s="6">
        <f>(72+$C$65)/300</f>
        <v>0.28</v>
      </c>
      <c r="D17" s="9"/>
      <c r="E17" s="11"/>
      <c r="F17" s="12"/>
      <c r="G17" s="4"/>
      <c r="H17" s="12"/>
    </row>
    <row r="18" spans="1:8" ht="16.5" customHeight="1">
      <c r="A18" s="2">
        <v>13</v>
      </c>
      <c r="B18" s="3" t="s">
        <v>13</v>
      </c>
      <c r="C18" s="6">
        <f>(87+$C$65)/150</f>
        <v>0.66</v>
      </c>
      <c r="D18" s="9"/>
      <c r="E18" s="11"/>
      <c r="F18" s="12"/>
      <c r="G18" s="4"/>
      <c r="H18" s="12"/>
    </row>
    <row r="19" spans="1:8" ht="16.5" customHeight="1">
      <c r="A19" s="2">
        <v>14</v>
      </c>
      <c r="B19" s="3" t="s">
        <v>131</v>
      </c>
      <c r="C19" s="6">
        <f>(26+$C$65)/180</f>
        <v>0.2111111111111111</v>
      </c>
      <c r="D19" s="9"/>
      <c r="E19" s="11"/>
      <c r="F19" s="12"/>
      <c r="G19" s="4"/>
      <c r="H19" s="12"/>
    </row>
    <row r="20" spans="1:8" ht="16.5" customHeight="1">
      <c r="A20" s="2">
        <v>15</v>
      </c>
      <c r="B20" s="3" t="s">
        <v>14</v>
      </c>
      <c r="C20" s="6">
        <f>(88+$C$65)/300</f>
        <v>0.3333333333333333</v>
      </c>
      <c r="D20" s="18">
        <v>1</v>
      </c>
      <c r="E20" s="17" t="s">
        <v>196</v>
      </c>
      <c r="F20" s="12" t="s">
        <v>197</v>
      </c>
      <c r="G20" s="4">
        <v>1170</v>
      </c>
      <c r="H20" s="12" t="s">
        <v>198</v>
      </c>
    </row>
    <row r="21" spans="1:8" ht="56.25" customHeight="1">
      <c r="A21" s="2">
        <v>16</v>
      </c>
      <c r="B21" s="3" t="s">
        <v>41</v>
      </c>
      <c r="C21" s="6">
        <f>(77+$C$65)/180</f>
        <v>0.49444444444444446</v>
      </c>
      <c r="D21" s="9"/>
      <c r="E21" s="11"/>
      <c r="F21" s="12"/>
      <c r="G21" s="4"/>
      <c r="H21" s="12"/>
    </row>
    <row r="22" spans="1:8" ht="56.25" customHeight="1">
      <c r="A22" s="2">
        <v>17</v>
      </c>
      <c r="B22" s="3" t="s">
        <v>206</v>
      </c>
      <c r="C22" s="6">
        <f>(-5+$C$65)/180</f>
        <v>0.03888888888888889</v>
      </c>
      <c r="D22" s="9"/>
      <c r="E22" s="11"/>
      <c r="F22" s="12"/>
      <c r="G22" s="4"/>
      <c r="H22" s="12"/>
    </row>
    <row r="23" spans="1:8" ht="56.25" customHeight="1">
      <c r="A23" s="2">
        <v>18</v>
      </c>
      <c r="B23" s="3" t="s">
        <v>207</v>
      </c>
      <c r="C23" s="6">
        <f>(-9+$C$65)/180</f>
        <v>0.016666666666666666</v>
      </c>
      <c r="D23" s="9"/>
      <c r="E23" s="11"/>
      <c r="F23" s="12"/>
      <c r="G23" s="4"/>
      <c r="H23" s="12"/>
    </row>
    <row r="24" spans="1:8" ht="47.25" customHeight="1">
      <c r="A24" s="2">
        <v>19</v>
      </c>
      <c r="B24" s="3" t="s">
        <v>158</v>
      </c>
      <c r="C24" s="8" t="s">
        <v>139</v>
      </c>
      <c r="D24" s="9"/>
      <c r="E24" s="11"/>
      <c r="F24" s="12"/>
      <c r="G24" s="4"/>
      <c r="H24" s="12"/>
    </row>
    <row r="25" spans="1:8" ht="45" customHeight="1">
      <c r="A25" s="2">
        <v>20</v>
      </c>
      <c r="B25" s="16" t="s">
        <v>136</v>
      </c>
      <c r="C25" s="8" t="s">
        <v>139</v>
      </c>
      <c r="D25" s="9"/>
      <c r="E25" s="11"/>
      <c r="F25" s="12"/>
      <c r="G25" s="4"/>
      <c r="H25" s="12"/>
    </row>
    <row r="26" spans="1:8" ht="16.5" customHeight="1">
      <c r="A26" s="2">
        <v>21</v>
      </c>
      <c r="B26" s="3" t="s">
        <v>133</v>
      </c>
      <c r="C26" s="8" t="s">
        <v>139</v>
      </c>
      <c r="D26" s="9"/>
      <c r="E26" s="11"/>
      <c r="F26" s="12"/>
      <c r="G26" s="4"/>
      <c r="H26" s="12"/>
    </row>
    <row r="27" spans="1:8" ht="16.5" customHeight="1">
      <c r="A27" s="2">
        <v>22</v>
      </c>
      <c r="B27" s="3" t="s">
        <v>134</v>
      </c>
      <c r="C27" s="8" t="s">
        <v>139</v>
      </c>
      <c r="D27" s="18">
        <v>1</v>
      </c>
      <c r="E27" s="17" t="s">
        <v>211</v>
      </c>
      <c r="F27" s="12" t="s">
        <v>209</v>
      </c>
      <c r="G27" s="4">
        <v>450</v>
      </c>
      <c r="H27" s="12" t="s">
        <v>210</v>
      </c>
    </row>
    <row r="28" spans="1:8" ht="16.5" customHeight="1">
      <c r="A28" s="2">
        <v>23</v>
      </c>
      <c r="B28" s="3" t="s">
        <v>135</v>
      </c>
      <c r="C28" s="8" t="s">
        <v>139</v>
      </c>
      <c r="D28" s="9"/>
      <c r="E28" s="11"/>
      <c r="F28" s="12"/>
      <c r="G28" s="4"/>
      <c r="H28" s="12"/>
    </row>
    <row r="29" spans="1:8" ht="15.75" customHeight="1">
      <c r="A29" s="2"/>
      <c r="B29" s="62" t="s">
        <v>18</v>
      </c>
      <c r="C29" s="63"/>
      <c r="D29" s="63"/>
      <c r="E29" s="63"/>
      <c r="F29" s="63"/>
      <c r="G29" s="63"/>
      <c r="H29" s="64"/>
    </row>
    <row r="30" spans="1:8" ht="51.75" customHeight="1">
      <c r="A30" s="2">
        <v>1</v>
      </c>
      <c r="B30" s="3" t="s">
        <v>15</v>
      </c>
      <c r="C30" s="6">
        <f>(101+$C$65)/408</f>
        <v>0.2769607843137255</v>
      </c>
      <c r="D30" s="9">
        <v>2</v>
      </c>
      <c r="E30" s="11" t="s">
        <v>201</v>
      </c>
      <c r="F30" s="13" t="s">
        <v>202</v>
      </c>
      <c r="G30" s="4" t="s">
        <v>213</v>
      </c>
      <c r="H30" s="12" t="s">
        <v>204</v>
      </c>
    </row>
    <row r="31" spans="1:8" ht="82.5" customHeight="1">
      <c r="A31" s="2">
        <v>2</v>
      </c>
      <c r="B31" s="3" t="s">
        <v>16</v>
      </c>
      <c r="C31" s="6">
        <f>(101+$C$65)/408</f>
        <v>0.2769607843137255</v>
      </c>
      <c r="D31" s="9">
        <v>1</v>
      </c>
      <c r="E31" s="11">
        <v>42916</v>
      </c>
      <c r="F31" s="13" t="s">
        <v>203</v>
      </c>
      <c r="G31" s="4">
        <v>7600</v>
      </c>
      <c r="H31" s="12" t="s">
        <v>205</v>
      </c>
    </row>
    <row r="32" spans="1:8" ht="16.5" customHeight="1">
      <c r="A32" s="2">
        <v>3</v>
      </c>
      <c r="B32" s="3" t="s">
        <v>34</v>
      </c>
      <c r="C32" s="6">
        <f>(94+$C$65)/276</f>
        <v>0.38405797101449274</v>
      </c>
      <c r="D32" s="9"/>
      <c r="E32" s="4"/>
      <c r="F32" s="13"/>
      <c r="G32" s="4"/>
      <c r="H32" s="12"/>
    </row>
    <row r="33" spans="1:8" ht="16.5" customHeight="1">
      <c r="A33" s="2">
        <v>4</v>
      </c>
      <c r="B33" s="3" t="s">
        <v>35</v>
      </c>
      <c r="C33" s="6">
        <f>(94+$C$65)/276</f>
        <v>0.38405797101449274</v>
      </c>
      <c r="D33" s="9"/>
      <c r="E33" s="4"/>
      <c r="F33" s="13"/>
      <c r="G33" s="4"/>
      <c r="H33" s="12"/>
    </row>
    <row r="34" spans="1:8" ht="15.75" customHeight="1">
      <c r="A34" s="2">
        <v>5</v>
      </c>
      <c r="B34" s="3" t="s">
        <v>36</v>
      </c>
      <c r="C34" s="6">
        <f>(96+$C$65)/300</f>
        <v>0.36</v>
      </c>
      <c r="D34" s="9"/>
      <c r="E34" s="11"/>
      <c r="F34" s="13"/>
      <c r="G34" s="4"/>
      <c r="H34" s="12"/>
    </row>
    <row r="35" spans="1:8" ht="16.5" customHeight="1">
      <c r="A35" s="2">
        <v>6</v>
      </c>
      <c r="B35" s="3" t="s">
        <v>37</v>
      </c>
      <c r="C35" s="6">
        <f>(96+$C$65)/300</f>
        <v>0.36</v>
      </c>
      <c r="D35" s="9"/>
      <c r="E35" s="11"/>
      <c r="F35" s="12"/>
      <c r="G35" s="4"/>
      <c r="H35" s="12"/>
    </row>
    <row r="36" spans="1:8" ht="16.5" customHeight="1">
      <c r="A36" s="2">
        <v>7</v>
      </c>
      <c r="B36" s="3" t="s">
        <v>32</v>
      </c>
      <c r="C36" s="6">
        <f>(101+$C$65)/312</f>
        <v>0.36217948717948717</v>
      </c>
      <c r="D36" s="9"/>
      <c r="E36" s="4"/>
      <c r="F36" s="13"/>
      <c r="G36" s="4"/>
      <c r="H36" s="12"/>
    </row>
    <row r="37" spans="1:8" ht="16.5" customHeight="1">
      <c r="A37" s="2">
        <v>8</v>
      </c>
      <c r="B37" s="3" t="s">
        <v>33</v>
      </c>
      <c r="C37" s="6">
        <f>(101+$C$65)/312</f>
        <v>0.36217948717948717</v>
      </c>
      <c r="D37" s="9"/>
      <c r="E37" s="4"/>
      <c r="F37" s="13"/>
      <c r="G37" s="4"/>
      <c r="H37" s="12"/>
    </row>
    <row r="38" spans="1:8" ht="32.25" customHeight="1">
      <c r="A38" s="2">
        <v>9</v>
      </c>
      <c r="B38" s="3" t="s">
        <v>31</v>
      </c>
      <c r="C38" s="6">
        <f>(106+$C$65)/300</f>
        <v>0.3933333333333333</v>
      </c>
      <c r="D38" s="9"/>
      <c r="E38" s="11"/>
      <c r="F38" s="13"/>
      <c r="G38" s="4"/>
      <c r="H38" s="12"/>
    </row>
    <row r="39" spans="1:8" ht="16.5" customHeight="1">
      <c r="A39" s="2">
        <v>10</v>
      </c>
      <c r="B39" s="3" t="s">
        <v>30</v>
      </c>
      <c r="C39" s="6">
        <f>(106+$C$65)/300</f>
        <v>0.3933333333333333</v>
      </c>
      <c r="D39" s="9"/>
      <c r="E39" s="11"/>
      <c r="F39" s="12"/>
      <c r="G39" s="4"/>
      <c r="H39" s="12"/>
    </row>
    <row r="40" spans="1:8" ht="16.5" customHeight="1">
      <c r="A40" s="2">
        <v>11</v>
      </c>
      <c r="B40" s="3" t="s">
        <v>38</v>
      </c>
      <c r="C40" s="6">
        <f>(84+$C$65)/240</f>
        <v>0.4</v>
      </c>
      <c r="D40" s="9"/>
      <c r="E40" s="4"/>
      <c r="F40" s="13"/>
      <c r="G40" s="4"/>
      <c r="H40" s="12"/>
    </row>
    <row r="41" spans="1:8" ht="16.5" customHeight="1">
      <c r="A41" s="2">
        <v>12</v>
      </c>
      <c r="B41" s="3" t="s">
        <v>19</v>
      </c>
      <c r="C41" s="6">
        <f>(101+$C$65)/264</f>
        <v>0.42803030303030304</v>
      </c>
      <c r="D41" s="9"/>
      <c r="E41" s="11"/>
      <c r="F41" s="13"/>
      <c r="G41" s="4"/>
      <c r="H41" s="12"/>
    </row>
    <row r="42" spans="1:8" ht="16.5" customHeight="1">
      <c r="A42" s="2">
        <v>13</v>
      </c>
      <c r="B42" s="3" t="s">
        <v>20</v>
      </c>
      <c r="C42" s="6">
        <f>(101+$C$65)/264</f>
        <v>0.42803030303030304</v>
      </c>
      <c r="D42" s="9"/>
      <c r="E42" s="11"/>
      <c r="F42" s="13"/>
      <c r="G42" s="4"/>
      <c r="H42" s="12"/>
    </row>
    <row r="43" spans="1:8" ht="16.5" customHeight="1">
      <c r="A43" s="2">
        <v>14</v>
      </c>
      <c r="B43" s="3" t="s">
        <v>21</v>
      </c>
      <c r="C43" s="6">
        <f>(101+$C$65)/264</f>
        <v>0.42803030303030304</v>
      </c>
      <c r="D43" s="9"/>
      <c r="E43" s="11"/>
      <c r="F43" s="13"/>
      <c r="G43" s="4"/>
      <c r="H43" s="12"/>
    </row>
    <row r="44" spans="1:8" ht="16.5" customHeight="1">
      <c r="A44" s="2">
        <v>15</v>
      </c>
      <c r="B44" s="3" t="s">
        <v>22</v>
      </c>
      <c r="C44" s="6">
        <f>(101+$C$65)/264</f>
        <v>0.42803030303030304</v>
      </c>
      <c r="D44" s="9"/>
      <c r="E44" s="11"/>
      <c r="F44" s="13"/>
      <c r="G44" s="4"/>
      <c r="H44" s="12"/>
    </row>
    <row r="45" spans="1:8" ht="16.5" customHeight="1">
      <c r="A45" s="2">
        <v>16</v>
      </c>
      <c r="B45" s="3" t="s">
        <v>23</v>
      </c>
      <c r="C45" s="6">
        <f>(106+$C$65)/300</f>
        <v>0.3933333333333333</v>
      </c>
      <c r="D45" s="9"/>
      <c r="E45" s="4"/>
      <c r="F45" s="12"/>
      <c r="G45" s="4"/>
      <c r="H45" s="12"/>
    </row>
    <row r="46" spans="1:8" ht="16.5" customHeight="1">
      <c r="A46" s="2">
        <v>17</v>
      </c>
      <c r="B46" s="3" t="s">
        <v>24</v>
      </c>
      <c r="C46" s="6">
        <f>(106+$C$65)/300</f>
        <v>0.3933333333333333</v>
      </c>
      <c r="D46" s="9"/>
      <c r="E46" s="4"/>
      <c r="F46" s="12"/>
      <c r="G46" s="4"/>
      <c r="H46" s="12"/>
    </row>
    <row r="47" spans="1:8" ht="16.5" customHeight="1">
      <c r="A47" s="2">
        <v>18</v>
      </c>
      <c r="B47" s="3" t="s">
        <v>60</v>
      </c>
      <c r="C47" s="6">
        <f>(66+$C$65)/180</f>
        <v>0.43333333333333335</v>
      </c>
      <c r="D47" s="9"/>
      <c r="E47" s="4"/>
      <c r="F47" s="12"/>
      <c r="G47" s="4"/>
      <c r="H47" s="12"/>
    </row>
    <row r="48" spans="1:8" ht="16.5" customHeight="1">
      <c r="A48" s="2">
        <v>19</v>
      </c>
      <c r="B48" s="3" t="s">
        <v>61</v>
      </c>
      <c r="C48" s="6">
        <f>(66+$C$65)/180</f>
        <v>0.43333333333333335</v>
      </c>
      <c r="D48" s="9"/>
      <c r="E48" s="4"/>
      <c r="F48" s="12"/>
      <c r="G48" s="4"/>
      <c r="H48" s="12"/>
    </row>
    <row r="49" spans="1:8" ht="16.5" customHeight="1">
      <c r="A49" s="2">
        <v>20</v>
      </c>
      <c r="B49" s="3" t="s">
        <v>53</v>
      </c>
      <c r="C49" s="6">
        <f>(72+$C$65)/300</f>
        <v>0.28</v>
      </c>
      <c r="D49" s="9"/>
      <c r="E49" s="11"/>
      <c r="F49" s="12"/>
      <c r="G49" s="4"/>
      <c r="H49" s="12"/>
    </row>
    <row r="50" spans="1:8" ht="16.5" customHeight="1">
      <c r="A50" s="2">
        <v>21</v>
      </c>
      <c r="B50" s="3" t="s">
        <v>52</v>
      </c>
      <c r="C50" s="6">
        <f>(72+$C$65)/300</f>
        <v>0.28</v>
      </c>
      <c r="D50" s="9"/>
      <c r="E50" s="4"/>
      <c r="F50" s="12"/>
      <c r="G50" s="4"/>
      <c r="H50" s="12"/>
    </row>
    <row r="51" spans="1:8" ht="16.5" customHeight="1">
      <c r="A51" s="2">
        <v>22</v>
      </c>
      <c r="B51" s="3" t="s">
        <v>43</v>
      </c>
      <c r="C51" s="6">
        <f>(88+$C$65)/300</f>
        <v>0.3333333333333333</v>
      </c>
      <c r="D51" s="9"/>
      <c r="E51" s="4"/>
      <c r="F51" s="12"/>
      <c r="G51" s="4"/>
      <c r="H51" s="12"/>
    </row>
    <row r="52" spans="1:8" ht="16.5" customHeight="1">
      <c r="A52" s="2">
        <v>23</v>
      </c>
      <c r="B52" s="3" t="s">
        <v>44</v>
      </c>
      <c r="C52" s="6">
        <f>(88+$C$65)/300</f>
        <v>0.3333333333333333</v>
      </c>
      <c r="D52" s="9"/>
      <c r="E52" s="4"/>
      <c r="F52" s="12"/>
      <c r="G52" s="4"/>
      <c r="H52" s="12"/>
    </row>
    <row r="53" spans="1:8" ht="16.5" customHeight="1">
      <c r="A53" s="2">
        <v>24</v>
      </c>
      <c r="B53" s="3" t="s">
        <v>154</v>
      </c>
      <c r="C53" s="6">
        <f>(36+$C$65)/300</f>
        <v>0.16</v>
      </c>
      <c r="D53" s="9"/>
      <c r="E53" s="4"/>
      <c r="F53" s="12"/>
      <c r="G53" s="4"/>
      <c r="H53" s="12"/>
    </row>
    <row r="54" spans="1:8" ht="16.5" customHeight="1">
      <c r="A54" s="2">
        <v>25</v>
      </c>
      <c r="B54" s="3" t="s">
        <v>155</v>
      </c>
      <c r="C54" s="6">
        <f>(36+$C$65)/300</f>
        <v>0.16</v>
      </c>
      <c r="D54" s="9"/>
      <c r="E54" s="4"/>
      <c r="F54" s="12"/>
      <c r="G54" s="4"/>
      <c r="H54" s="12"/>
    </row>
    <row r="55" spans="1:8" ht="16.5" customHeight="1">
      <c r="A55" s="2">
        <v>26</v>
      </c>
      <c r="B55" s="3" t="s">
        <v>46</v>
      </c>
      <c r="C55" s="6">
        <f>(72+$C$65)/300</f>
        <v>0.28</v>
      </c>
      <c r="D55" s="9"/>
      <c r="E55" s="4"/>
      <c r="F55" s="12"/>
      <c r="G55" s="4"/>
      <c r="H55" s="12"/>
    </row>
    <row r="56" spans="1:8" ht="16.5" customHeight="1">
      <c r="A56" s="2">
        <v>27</v>
      </c>
      <c r="B56" s="3" t="s">
        <v>47</v>
      </c>
      <c r="C56" s="6">
        <f>(72+$C$65)/300</f>
        <v>0.28</v>
      </c>
      <c r="D56" s="9"/>
      <c r="E56" s="4"/>
      <c r="F56" s="12"/>
      <c r="G56" s="4"/>
      <c r="H56" s="12"/>
    </row>
    <row r="57" spans="1:8" ht="16.5" customHeight="1">
      <c r="A57" s="2">
        <v>28</v>
      </c>
      <c r="B57" s="15" t="s">
        <v>120</v>
      </c>
      <c r="C57" s="6">
        <f>(30+$C$65)/181</f>
        <v>0.23204419889502761</v>
      </c>
      <c r="D57" s="9"/>
      <c r="E57" s="4"/>
      <c r="F57" s="12"/>
      <c r="G57" s="4"/>
      <c r="H57" s="12"/>
    </row>
    <row r="58" spans="1:8" ht="16.5" customHeight="1">
      <c r="A58" s="2">
        <v>29</v>
      </c>
      <c r="B58" s="3" t="s">
        <v>121</v>
      </c>
      <c r="C58" s="6">
        <f>(30+$C$65)/181</f>
        <v>0.23204419889502761</v>
      </c>
      <c r="D58" s="9"/>
      <c r="E58" s="4"/>
      <c r="F58" s="12"/>
      <c r="G58" s="4"/>
      <c r="H58" s="12"/>
    </row>
    <row r="59" spans="1:8" ht="16.5" customHeight="1">
      <c r="A59" s="2">
        <v>30</v>
      </c>
      <c r="B59" s="3" t="s">
        <v>208</v>
      </c>
      <c r="C59" s="6">
        <f>(-9+$C$65)/181</f>
        <v>0.016574585635359115</v>
      </c>
      <c r="D59" s="9"/>
      <c r="E59" s="4"/>
      <c r="F59" s="12"/>
      <c r="G59" s="4"/>
      <c r="H59" s="12"/>
    </row>
    <row r="60" spans="1:8" ht="16.5" customHeight="1">
      <c r="A60" s="2">
        <v>31</v>
      </c>
      <c r="B60" s="3" t="s">
        <v>122</v>
      </c>
      <c r="C60" s="6">
        <f>(36+$C$65)/181</f>
        <v>0.26519337016574585</v>
      </c>
      <c r="D60" s="9"/>
      <c r="E60" s="4"/>
      <c r="F60" s="12"/>
      <c r="G60" s="4"/>
      <c r="H60" s="12"/>
    </row>
    <row r="61" spans="1:8" ht="16.5" customHeight="1">
      <c r="A61" s="2">
        <v>32</v>
      </c>
      <c r="B61" s="3" t="s">
        <v>146</v>
      </c>
      <c r="C61" s="6">
        <f>(30+$C$65)/181</f>
        <v>0.23204419889502761</v>
      </c>
      <c r="D61" s="9"/>
      <c r="E61" s="11"/>
      <c r="F61" s="12"/>
      <c r="G61" s="4"/>
      <c r="H61" s="12"/>
    </row>
    <row r="62" spans="1:8" ht="16.5" customHeight="1">
      <c r="A62" s="2">
        <v>33</v>
      </c>
      <c r="B62" s="3" t="s">
        <v>156</v>
      </c>
      <c r="C62" s="6">
        <f>(11+$C$65)/181</f>
        <v>0.1270718232044199</v>
      </c>
      <c r="D62" s="9"/>
      <c r="E62" s="11"/>
      <c r="F62" s="12"/>
      <c r="G62" s="4"/>
      <c r="H62" s="12"/>
    </row>
    <row r="63" spans="1:8" ht="16.5" customHeight="1">
      <c r="A63" s="2">
        <v>34</v>
      </c>
      <c r="B63" s="3" t="s">
        <v>29</v>
      </c>
      <c r="C63" s="6">
        <f>(84+$C$65)/300</f>
        <v>0.32</v>
      </c>
      <c r="D63" s="9"/>
      <c r="E63" s="4"/>
      <c r="F63" s="12"/>
      <c r="G63" s="4"/>
      <c r="H63" s="12"/>
    </row>
    <row r="64" spans="1:8" ht="49.5" customHeight="1">
      <c r="A64" s="2">
        <v>35</v>
      </c>
      <c r="B64" s="3" t="s">
        <v>157</v>
      </c>
      <c r="C64" s="6">
        <f>(77+$C$65)/180</f>
        <v>0.49444444444444446</v>
      </c>
      <c r="D64" s="9">
        <v>1</v>
      </c>
      <c r="E64" s="11">
        <v>42899</v>
      </c>
      <c r="F64" s="13" t="s">
        <v>199</v>
      </c>
      <c r="G64" s="4">
        <v>0</v>
      </c>
      <c r="H64" s="12" t="s">
        <v>200</v>
      </c>
    </row>
    <row r="65" spans="3:8" ht="15">
      <c r="C65" s="7">
        <v>12</v>
      </c>
      <c r="D65" s="7"/>
      <c r="E65" s="5"/>
      <c r="F65" s="5"/>
      <c r="G65" s="5"/>
      <c r="H65" s="5"/>
    </row>
    <row r="66" spans="1:8" ht="14.25" customHeight="1">
      <c r="A66" s="1" t="s">
        <v>40</v>
      </c>
      <c r="B66" s="65" t="s">
        <v>115</v>
      </c>
      <c r="C66" s="65"/>
      <c r="D66" s="65"/>
      <c r="E66" s="65"/>
      <c r="F66" s="65"/>
      <c r="G66" s="65"/>
      <c r="H66" s="65"/>
    </row>
  </sheetData>
  <sheetProtection/>
  <mergeCells count="6">
    <mergeCell ref="B29:H29"/>
    <mergeCell ref="B66:H66"/>
    <mergeCell ref="A1:H1"/>
    <mergeCell ref="A2:H2"/>
    <mergeCell ref="A3:H3"/>
    <mergeCell ref="B5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70" zoomScaleNormal="70" zoomScalePageLayoutView="0" workbookViewId="0" topLeftCell="A1">
      <selection activeCell="H50" sqref="H50"/>
    </sheetView>
  </sheetViews>
  <sheetFormatPr defaultColWidth="9.140625" defaultRowHeight="12.75"/>
  <cols>
    <col min="1" max="1" width="4.57421875" style="1" customWidth="1"/>
    <col min="2" max="2" width="46.140625" style="1" customWidth="1"/>
    <col min="3" max="3" width="11.57421875" style="1" customWidth="1"/>
    <col min="4" max="4" width="14.7109375" style="1" customWidth="1"/>
    <col min="5" max="5" width="12.7109375" style="1" customWidth="1"/>
    <col min="6" max="6" width="59.28125" style="1" customWidth="1"/>
    <col min="7" max="7" width="12.57421875" style="1" customWidth="1"/>
    <col min="8" max="8" width="51.7109375" style="1" customWidth="1"/>
    <col min="9" max="16384" width="9.140625" style="1" customWidth="1"/>
  </cols>
  <sheetData>
    <row r="1" spans="1:8" ht="21" customHeight="1">
      <c r="A1" s="66" t="s">
        <v>181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16.5" customHeight="1">
      <c r="A6" s="2">
        <v>1</v>
      </c>
      <c r="B6" s="14" t="s">
        <v>5</v>
      </c>
      <c r="C6" s="8">
        <f>(89+$C$64)/60</f>
        <v>1.6833333333333333</v>
      </c>
      <c r="D6" s="9">
        <v>1</v>
      </c>
      <c r="E6" s="11">
        <v>42500</v>
      </c>
      <c r="F6" s="12" t="s">
        <v>159</v>
      </c>
      <c r="G6" s="4">
        <v>3940</v>
      </c>
      <c r="H6" s="12" t="s">
        <v>162</v>
      </c>
    </row>
    <row r="7" spans="1:8" ht="16.5" customHeight="1">
      <c r="A7" s="2">
        <v>2</v>
      </c>
      <c r="B7" s="3" t="s">
        <v>6</v>
      </c>
      <c r="C7" s="6">
        <f>(82+$C$64)/276</f>
        <v>0.34057971014492755</v>
      </c>
      <c r="D7" s="9">
        <v>1</v>
      </c>
      <c r="E7" s="11">
        <v>42514</v>
      </c>
      <c r="F7" s="12" t="s">
        <v>163</v>
      </c>
      <c r="G7" s="4">
        <v>230</v>
      </c>
      <c r="H7" s="12" t="s">
        <v>164</v>
      </c>
    </row>
    <row r="8" spans="1:8" ht="16.5" customHeight="1">
      <c r="A8" s="2">
        <v>3</v>
      </c>
      <c r="B8" s="3" t="s">
        <v>7</v>
      </c>
      <c r="C8" s="6">
        <f>(84+$C$64)/288</f>
        <v>0.3333333333333333</v>
      </c>
      <c r="D8" s="9"/>
      <c r="E8" s="4"/>
      <c r="F8" s="12"/>
      <c r="G8" s="4">
        <v>0</v>
      </c>
      <c r="H8" s="12"/>
    </row>
    <row r="9" spans="1:8" ht="31.5" customHeight="1">
      <c r="A9" s="2">
        <v>4</v>
      </c>
      <c r="B9" s="3" t="s">
        <v>8</v>
      </c>
      <c r="C9" s="6">
        <f>(89+$C$64)/312</f>
        <v>0.32371794871794873</v>
      </c>
      <c r="D9" s="9">
        <v>2</v>
      </c>
      <c r="E9" s="11" t="s">
        <v>175</v>
      </c>
      <c r="F9" s="12" t="s">
        <v>176</v>
      </c>
      <c r="G9" s="4" t="s">
        <v>178</v>
      </c>
      <c r="H9" s="12" t="s">
        <v>177</v>
      </c>
    </row>
    <row r="10" spans="1:8" ht="16.5" customHeight="1">
      <c r="A10" s="2">
        <v>5</v>
      </c>
      <c r="B10" s="3" t="s">
        <v>9</v>
      </c>
      <c r="C10" s="6">
        <f>(92+$C$64)/420</f>
        <v>0.24761904761904763</v>
      </c>
      <c r="D10" s="9"/>
      <c r="E10" s="11"/>
      <c r="F10" s="12"/>
      <c r="G10" s="4">
        <v>0</v>
      </c>
      <c r="H10" s="12"/>
    </row>
    <row r="11" spans="1:8" ht="16.5" customHeight="1">
      <c r="A11" s="2">
        <v>6</v>
      </c>
      <c r="B11" s="3" t="s">
        <v>10</v>
      </c>
      <c r="C11" s="6">
        <f>(92+$C$64)/420</f>
        <v>0.24761904761904763</v>
      </c>
      <c r="D11" s="9"/>
      <c r="E11" s="11"/>
      <c r="F11" s="12"/>
      <c r="G11" s="4">
        <v>0</v>
      </c>
      <c r="H11" s="12"/>
    </row>
    <row r="12" spans="1:8" ht="16.5" customHeight="1">
      <c r="A12" s="2">
        <v>7</v>
      </c>
      <c r="B12" s="3" t="s">
        <v>50</v>
      </c>
      <c r="C12" s="6">
        <f>(60+$C$64)/300</f>
        <v>0.24</v>
      </c>
      <c r="D12" s="9"/>
      <c r="E12" s="4"/>
      <c r="F12" s="12"/>
      <c r="G12" s="4">
        <v>0</v>
      </c>
      <c r="H12" s="12"/>
    </row>
    <row r="13" spans="1:8" ht="16.5" customHeight="1">
      <c r="A13" s="2">
        <v>8</v>
      </c>
      <c r="B13" s="3" t="s">
        <v>57</v>
      </c>
      <c r="C13" s="6">
        <f>(54+$C$64)/180</f>
        <v>0.36666666666666664</v>
      </c>
      <c r="D13" s="9"/>
      <c r="E13" s="4"/>
      <c r="F13" s="12"/>
      <c r="G13" s="4">
        <v>0</v>
      </c>
      <c r="H13" s="12"/>
    </row>
    <row r="14" spans="1:8" ht="16.5" customHeight="1">
      <c r="A14" s="2">
        <v>9</v>
      </c>
      <c r="B14" s="3" t="s">
        <v>132</v>
      </c>
      <c r="C14" s="6">
        <f>(24+$C$64)/300</f>
        <v>0.12</v>
      </c>
      <c r="D14" s="9"/>
      <c r="E14" s="4"/>
      <c r="F14" s="12"/>
      <c r="G14" s="4">
        <v>0</v>
      </c>
      <c r="H14" s="12"/>
    </row>
    <row r="15" spans="1:8" ht="16.5" customHeight="1">
      <c r="A15" s="2">
        <v>10</v>
      </c>
      <c r="B15" s="3" t="s">
        <v>11</v>
      </c>
      <c r="C15" s="6">
        <f>(72+$C$64)/240</f>
        <v>0.35</v>
      </c>
      <c r="D15" s="9"/>
      <c r="E15" s="11"/>
      <c r="F15" s="12"/>
      <c r="G15" s="4">
        <v>0</v>
      </c>
      <c r="H15" s="12"/>
    </row>
    <row r="16" spans="1:8" ht="45.75" customHeight="1">
      <c r="A16" s="2">
        <v>11</v>
      </c>
      <c r="B16" s="3" t="s">
        <v>12</v>
      </c>
      <c r="C16" s="6">
        <f>(81+$C$64)/300</f>
        <v>0.31</v>
      </c>
      <c r="D16" s="9">
        <v>3</v>
      </c>
      <c r="E16" s="11" t="s">
        <v>165</v>
      </c>
      <c r="F16" s="12" t="s">
        <v>166</v>
      </c>
      <c r="G16" s="4" t="s">
        <v>170</v>
      </c>
      <c r="H16" s="12" t="s">
        <v>167</v>
      </c>
    </row>
    <row r="17" spans="1:8" ht="30.75" customHeight="1">
      <c r="A17" s="2">
        <v>12</v>
      </c>
      <c r="B17" s="3" t="s">
        <v>45</v>
      </c>
      <c r="C17" s="6">
        <f>(60+$C$64)/300</f>
        <v>0.24</v>
      </c>
      <c r="D17" s="9">
        <v>2</v>
      </c>
      <c r="E17" s="11" t="s">
        <v>168</v>
      </c>
      <c r="F17" s="12" t="s">
        <v>169</v>
      </c>
      <c r="G17" s="4" t="s">
        <v>171</v>
      </c>
      <c r="H17" s="12" t="s">
        <v>172</v>
      </c>
    </row>
    <row r="18" spans="1:8" ht="16.5" customHeight="1">
      <c r="A18" s="2">
        <v>13</v>
      </c>
      <c r="B18" s="3" t="s">
        <v>13</v>
      </c>
      <c r="C18" s="6">
        <f>(75+$C$64)/150</f>
        <v>0.58</v>
      </c>
      <c r="D18" s="9"/>
      <c r="E18" s="11"/>
      <c r="F18" s="12"/>
      <c r="G18" s="4">
        <v>0</v>
      </c>
      <c r="H18" s="12"/>
    </row>
    <row r="19" spans="1:8" ht="16.5" customHeight="1">
      <c r="A19" s="2">
        <v>14</v>
      </c>
      <c r="B19" s="3" t="s">
        <v>131</v>
      </c>
      <c r="C19" s="6">
        <f>(14+$C$64)/180</f>
        <v>0.14444444444444443</v>
      </c>
      <c r="D19" s="9"/>
      <c r="E19" s="11"/>
      <c r="F19" s="12"/>
      <c r="G19" s="4">
        <v>0</v>
      </c>
      <c r="H19" s="12"/>
    </row>
    <row r="20" spans="1:8" ht="16.5" customHeight="1">
      <c r="A20" s="2">
        <v>15</v>
      </c>
      <c r="B20" s="3" t="s">
        <v>14</v>
      </c>
      <c r="C20" s="6">
        <f>(76+$C$64)/300</f>
        <v>0.29333333333333333</v>
      </c>
      <c r="D20" s="9"/>
      <c r="E20" s="11"/>
      <c r="F20" s="12"/>
      <c r="G20" s="4">
        <v>0</v>
      </c>
      <c r="H20" s="12"/>
    </row>
    <row r="21" spans="1:8" ht="56.25" customHeight="1">
      <c r="A21" s="2">
        <v>16</v>
      </c>
      <c r="B21" s="3" t="s">
        <v>41</v>
      </c>
      <c r="C21" s="6">
        <f>(65+$C$64)/180</f>
        <v>0.42777777777777776</v>
      </c>
      <c r="D21" s="9">
        <v>3</v>
      </c>
      <c r="E21" s="11" t="s">
        <v>182</v>
      </c>
      <c r="F21" s="12" t="s">
        <v>183</v>
      </c>
      <c r="G21" s="4" t="s">
        <v>185</v>
      </c>
      <c r="H21" s="12" t="s">
        <v>186</v>
      </c>
    </row>
    <row r="22" spans="1:8" ht="47.25" customHeight="1">
      <c r="A22" s="2">
        <v>17</v>
      </c>
      <c r="B22" s="3" t="s">
        <v>158</v>
      </c>
      <c r="C22" s="8" t="s">
        <v>139</v>
      </c>
      <c r="D22" s="9">
        <v>3</v>
      </c>
      <c r="E22" s="11" t="s">
        <v>173</v>
      </c>
      <c r="F22" s="12" t="s">
        <v>166</v>
      </c>
      <c r="G22" s="4" t="s">
        <v>174</v>
      </c>
      <c r="H22" s="12" t="s">
        <v>167</v>
      </c>
    </row>
    <row r="23" spans="1:8" ht="45" customHeight="1">
      <c r="A23" s="2">
        <v>18</v>
      </c>
      <c r="B23" s="16" t="s">
        <v>136</v>
      </c>
      <c r="C23" s="8" t="s">
        <v>139</v>
      </c>
      <c r="D23" s="9">
        <v>3</v>
      </c>
      <c r="E23" s="11" t="s">
        <v>182</v>
      </c>
      <c r="F23" s="12" t="s">
        <v>183</v>
      </c>
      <c r="G23" s="4" t="s">
        <v>184</v>
      </c>
      <c r="H23" s="12" t="s">
        <v>187</v>
      </c>
    </row>
    <row r="24" spans="1:8" ht="16.5" customHeight="1">
      <c r="A24" s="2">
        <v>19</v>
      </c>
      <c r="B24" s="3" t="s">
        <v>133</v>
      </c>
      <c r="C24" s="8" t="s">
        <v>139</v>
      </c>
      <c r="D24" s="9"/>
      <c r="E24" s="11"/>
      <c r="F24" s="12"/>
      <c r="G24" s="4">
        <v>0</v>
      </c>
      <c r="H24" s="12"/>
    </row>
    <row r="25" spans="1:8" ht="16.5" customHeight="1">
      <c r="A25" s="2">
        <v>20</v>
      </c>
      <c r="B25" s="3" t="s">
        <v>134</v>
      </c>
      <c r="C25" s="8" t="s">
        <v>139</v>
      </c>
      <c r="D25" s="9"/>
      <c r="E25" s="11"/>
      <c r="F25" s="12"/>
      <c r="G25" s="4">
        <v>0</v>
      </c>
      <c r="H25" s="12"/>
    </row>
    <row r="26" spans="1:8" ht="16.5" customHeight="1">
      <c r="A26" s="2">
        <v>21</v>
      </c>
      <c r="B26" s="3" t="s">
        <v>135</v>
      </c>
      <c r="C26" s="8" t="s">
        <v>139</v>
      </c>
      <c r="D26" s="9"/>
      <c r="E26" s="11"/>
      <c r="F26" s="12"/>
      <c r="G26" s="4">
        <v>0</v>
      </c>
      <c r="H26" s="12"/>
    </row>
    <row r="27" spans="1:8" ht="16.5" customHeight="1">
      <c r="A27" s="2">
        <v>22</v>
      </c>
      <c r="B27" s="3" t="s">
        <v>137</v>
      </c>
      <c r="C27" s="8" t="s">
        <v>139</v>
      </c>
      <c r="D27" s="9"/>
      <c r="E27" s="11"/>
      <c r="F27" s="12"/>
      <c r="G27" s="4">
        <v>0</v>
      </c>
      <c r="H27" s="12"/>
    </row>
    <row r="28" spans="1:8" ht="16.5" customHeight="1">
      <c r="A28" s="2">
        <v>23</v>
      </c>
      <c r="B28" s="3" t="s">
        <v>138</v>
      </c>
      <c r="C28" s="8" t="s">
        <v>139</v>
      </c>
      <c r="D28" s="9">
        <v>1</v>
      </c>
      <c r="E28" s="11">
        <v>42685</v>
      </c>
      <c r="F28" s="12" t="s">
        <v>179</v>
      </c>
      <c r="G28" s="4">
        <v>100</v>
      </c>
      <c r="H28" s="12" t="s">
        <v>180</v>
      </c>
    </row>
    <row r="29" spans="1:8" ht="15.75" customHeight="1">
      <c r="A29" s="2"/>
      <c r="B29" s="62" t="s">
        <v>18</v>
      </c>
      <c r="C29" s="63"/>
      <c r="D29" s="63"/>
      <c r="E29" s="63"/>
      <c r="F29" s="63"/>
      <c r="G29" s="63"/>
      <c r="H29" s="64"/>
    </row>
    <row r="30" spans="1:8" ht="51.75" customHeight="1">
      <c r="A30" s="2">
        <v>1</v>
      </c>
      <c r="B30" s="3" t="s">
        <v>15</v>
      </c>
      <c r="C30" s="6">
        <f>(89+$C$64)/408</f>
        <v>0.24754901960784315</v>
      </c>
      <c r="D30" s="9">
        <v>3</v>
      </c>
      <c r="E30" s="11" t="s">
        <v>188</v>
      </c>
      <c r="F30" s="13" t="s">
        <v>190</v>
      </c>
      <c r="G30" s="4" t="s">
        <v>192</v>
      </c>
      <c r="H30" s="12" t="s">
        <v>194</v>
      </c>
    </row>
    <row r="31" spans="1:8" ht="82.5" customHeight="1">
      <c r="A31" s="2">
        <v>2</v>
      </c>
      <c r="B31" s="3" t="s">
        <v>16</v>
      </c>
      <c r="C31" s="6">
        <f>(89+$C$64)/408</f>
        <v>0.24754901960784315</v>
      </c>
      <c r="D31" s="9">
        <v>6</v>
      </c>
      <c r="E31" s="11" t="s">
        <v>189</v>
      </c>
      <c r="F31" s="13" t="s">
        <v>191</v>
      </c>
      <c r="G31" s="4" t="s">
        <v>193</v>
      </c>
      <c r="H31" s="12" t="s">
        <v>195</v>
      </c>
    </row>
    <row r="32" spans="1:8" ht="16.5" customHeight="1">
      <c r="A32" s="2">
        <v>3</v>
      </c>
      <c r="B32" s="3" t="s">
        <v>34</v>
      </c>
      <c r="C32" s="6">
        <f>(82+$C$64)/276</f>
        <v>0.34057971014492755</v>
      </c>
      <c r="D32" s="9"/>
      <c r="E32" s="4"/>
      <c r="F32" s="13"/>
      <c r="G32" s="4">
        <v>0</v>
      </c>
      <c r="H32" s="12"/>
    </row>
    <row r="33" spans="1:8" ht="16.5" customHeight="1">
      <c r="A33" s="2">
        <v>4</v>
      </c>
      <c r="B33" s="3" t="s">
        <v>35</v>
      </c>
      <c r="C33" s="6">
        <f>(82+$C$64)/276</f>
        <v>0.34057971014492755</v>
      </c>
      <c r="D33" s="9"/>
      <c r="E33" s="4"/>
      <c r="F33" s="13"/>
      <c r="G33" s="4">
        <v>0</v>
      </c>
      <c r="H33" s="12"/>
    </row>
    <row r="34" spans="1:8" ht="15.75" customHeight="1">
      <c r="A34" s="2">
        <v>5</v>
      </c>
      <c r="B34" s="3" t="s">
        <v>36</v>
      </c>
      <c r="C34" s="6">
        <f>(84+$C$64)/300</f>
        <v>0.32</v>
      </c>
      <c r="D34" s="9"/>
      <c r="E34" s="11"/>
      <c r="F34" s="13"/>
      <c r="G34" s="4">
        <v>0</v>
      </c>
      <c r="H34" s="12"/>
    </row>
    <row r="35" spans="1:8" ht="16.5" customHeight="1">
      <c r="A35" s="2">
        <v>6</v>
      </c>
      <c r="B35" s="3" t="s">
        <v>37</v>
      </c>
      <c r="C35" s="6">
        <f>(84+$C$64)/300</f>
        <v>0.32</v>
      </c>
      <c r="D35" s="9"/>
      <c r="E35" s="11"/>
      <c r="F35" s="12"/>
      <c r="G35" s="4">
        <v>0</v>
      </c>
      <c r="H35" s="12"/>
    </row>
    <row r="36" spans="1:8" ht="16.5" customHeight="1">
      <c r="A36" s="2">
        <v>7</v>
      </c>
      <c r="B36" s="3" t="s">
        <v>32</v>
      </c>
      <c r="C36" s="6">
        <f>(89+$C$64)/312</f>
        <v>0.32371794871794873</v>
      </c>
      <c r="D36" s="9"/>
      <c r="E36" s="4"/>
      <c r="F36" s="13"/>
      <c r="G36" s="4">
        <v>0</v>
      </c>
      <c r="H36" s="12"/>
    </row>
    <row r="37" spans="1:8" ht="16.5" customHeight="1">
      <c r="A37" s="2">
        <v>8</v>
      </c>
      <c r="B37" s="3" t="s">
        <v>33</v>
      </c>
      <c r="C37" s="6">
        <f>(89+$C$64)/312</f>
        <v>0.32371794871794873</v>
      </c>
      <c r="D37" s="9"/>
      <c r="E37" s="4"/>
      <c r="F37" s="13"/>
      <c r="G37" s="4">
        <v>0</v>
      </c>
      <c r="H37" s="12"/>
    </row>
    <row r="38" spans="1:8" ht="32.25" customHeight="1">
      <c r="A38" s="2">
        <v>9</v>
      </c>
      <c r="B38" s="3" t="s">
        <v>31</v>
      </c>
      <c r="C38" s="6">
        <f>(94+$C$64)/300</f>
        <v>0.35333333333333333</v>
      </c>
      <c r="D38" s="9">
        <v>1</v>
      </c>
      <c r="E38" s="11">
        <v>42501</v>
      </c>
      <c r="F38" s="13" t="s">
        <v>160</v>
      </c>
      <c r="G38" s="4">
        <v>0</v>
      </c>
      <c r="H38" s="12" t="s">
        <v>161</v>
      </c>
    </row>
    <row r="39" spans="1:8" ht="16.5" customHeight="1">
      <c r="A39" s="2">
        <v>10</v>
      </c>
      <c r="B39" s="3" t="s">
        <v>30</v>
      </c>
      <c r="C39" s="6">
        <f>(94+$C$64)/300</f>
        <v>0.35333333333333333</v>
      </c>
      <c r="D39" s="9"/>
      <c r="E39" s="11"/>
      <c r="F39" s="12"/>
      <c r="G39" s="4">
        <v>0</v>
      </c>
      <c r="H39" s="12"/>
    </row>
    <row r="40" spans="1:7" ht="16.5" customHeight="1">
      <c r="A40" s="2">
        <v>11</v>
      </c>
      <c r="B40" s="3" t="s">
        <v>38</v>
      </c>
      <c r="C40" s="6">
        <f>(72+$C$64)/240</f>
        <v>0.35</v>
      </c>
      <c r="D40" s="9"/>
      <c r="E40" s="4"/>
      <c r="F40" s="13"/>
      <c r="G40" s="4">
        <v>0</v>
      </c>
    </row>
    <row r="41" spans="1:7" ht="16.5" customHeight="1">
      <c r="A41" s="2">
        <v>12</v>
      </c>
      <c r="B41" s="3" t="s">
        <v>19</v>
      </c>
      <c r="C41" s="6">
        <f>(89+$C$64)/264</f>
        <v>0.38257575757575757</v>
      </c>
      <c r="D41" s="9"/>
      <c r="E41" s="11"/>
      <c r="F41" s="13"/>
      <c r="G41" s="4">
        <v>0</v>
      </c>
    </row>
    <row r="42" spans="1:8" ht="16.5" customHeight="1">
      <c r="A42" s="2">
        <v>13</v>
      </c>
      <c r="B42" s="3" t="s">
        <v>20</v>
      </c>
      <c r="C42" s="6">
        <f>(89+$C$64)/264</f>
        <v>0.38257575757575757</v>
      </c>
      <c r="D42" s="9"/>
      <c r="E42" s="11"/>
      <c r="F42" s="13"/>
      <c r="G42" s="4">
        <v>0</v>
      </c>
      <c r="H42" s="12"/>
    </row>
    <row r="43" spans="1:8" ht="16.5" customHeight="1">
      <c r="A43" s="2">
        <v>14</v>
      </c>
      <c r="B43" s="3" t="s">
        <v>21</v>
      </c>
      <c r="C43" s="6">
        <f>(89+$C$64)/264</f>
        <v>0.38257575757575757</v>
      </c>
      <c r="D43" s="9"/>
      <c r="E43" s="11"/>
      <c r="F43" s="13"/>
      <c r="G43" s="4">
        <v>0</v>
      </c>
      <c r="H43" s="12"/>
    </row>
    <row r="44" spans="1:8" ht="16.5" customHeight="1">
      <c r="A44" s="2">
        <v>15</v>
      </c>
      <c r="B44" s="3" t="s">
        <v>22</v>
      </c>
      <c r="C44" s="6">
        <f>(89+$C$64)/264</f>
        <v>0.38257575757575757</v>
      </c>
      <c r="D44" s="9"/>
      <c r="E44" s="11"/>
      <c r="F44" s="13"/>
      <c r="G44" s="4">
        <v>0</v>
      </c>
      <c r="H44" s="12"/>
    </row>
    <row r="45" spans="1:8" ht="16.5" customHeight="1">
      <c r="A45" s="2">
        <v>16</v>
      </c>
      <c r="B45" s="3" t="s">
        <v>23</v>
      </c>
      <c r="C45" s="6">
        <f>(94+$C$64)/300</f>
        <v>0.35333333333333333</v>
      </c>
      <c r="D45" s="9"/>
      <c r="E45" s="4"/>
      <c r="F45" s="12"/>
      <c r="G45" s="4">
        <v>0</v>
      </c>
      <c r="H45" s="12"/>
    </row>
    <row r="46" spans="1:8" ht="16.5" customHeight="1">
      <c r="A46" s="2">
        <v>17</v>
      </c>
      <c r="B46" s="3" t="s">
        <v>24</v>
      </c>
      <c r="C46" s="6">
        <f>(94+$C$64)/300</f>
        <v>0.35333333333333333</v>
      </c>
      <c r="D46" s="9"/>
      <c r="E46" s="4"/>
      <c r="F46" s="12"/>
      <c r="G46" s="4">
        <v>0</v>
      </c>
      <c r="H46" s="12"/>
    </row>
    <row r="47" spans="1:8" ht="16.5" customHeight="1">
      <c r="A47" s="2">
        <v>18</v>
      </c>
      <c r="B47" s="3" t="s">
        <v>60</v>
      </c>
      <c r="C47" s="6">
        <f>(54+$C$64)/180</f>
        <v>0.36666666666666664</v>
      </c>
      <c r="D47" s="9"/>
      <c r="E47" s="4"/>
      <c r="F47" s="12"/>
      <c r="G47" s="4">
        <v>0</v>
      </c>
      <c r="H47" s="12"/>
    </row>
    <row r="48" spans="1:8" ht="16.5" customHeight="1">
      <c r="A48" s="2">
        <v>19</v>
      </c>
      <c r="B48" s="3" t="s">
        <v>61</v>
      </c>
      <c r="C48" s="6">
        <f>(54+$C$64)/180</f>
        <v>0.36666666666666664</v>
      </c>
      <c r="D48" s="9"/>
      <c r="E48" s="4"/>
      <c r="F48" s="12"/>
      <c r="G48" s="4">
        <v>0</v>
      </c>
      <c r="H48" s="12"/>
    </row>
    <row r="49" spans="1:8" ht="16.5" customHeight="1">
      <c r="A49" s="2">
        <v>20</v>
      </c>
      <c r="B49" s="3" t="s">
        <v>53</v>
      </c>
      <c r="C49" s="6">
        <f>(60+$C$64)/300</f>
        <v>0.24</v>
      </c>
      <c r="D49" s="9"/>
      <c r="E49" s="11"/>
      <c r="F49" s="12"/>
      <c r="G49" s="4">
        <v>0</v>
      </c>
      <c r="H49" s="12"/>
    </row>
    <row r="50" spans="1:8" ht="16.5" customHeight="1">
      <c r="A50" s="2">
        <v>21</v>
      </c>
      <c r="B50" s="3" t="s">
        <v>52</v>
      </c>
      <c r="C50" s="6">
        <f>(60+$C$64)/300</f>
        <v>0.24</v>
      </c>
      <c r="D50" s="9"/>
      <c r="E50" s="4"/>
      <c r="F50" s="12"/>
      <c r="G50" s="4">
        <v>0</v>
      </c>
      <c r="H50" s="12"/>
    </row>
    <row r="51" spans="1:8" ht="16.5" customHeight="1">
      <c r="A51" s="2">
        <v>22</v>
      </c>
      <c r="B51" s="3" t="s">
        <v>43</v>
      </c>
      <c r="C51" s="6">
        <f>(76+$C$64)/300</f>
        <v>0.29333333333333333</v>
      </c>
      <c r="D51" s="9"/>
      <c r="E51" s="4"/>
      <c r="F51" s="12"/>
      <c r="G51" s="4">
        <v>0</v>
      </c>
      <c r="H51" s="12"/>
    </row>
    <row r="52" spans="1:8" ht="16.5" customHeight="1">
      <c r="A52" s="2">
        <v>23</v>
      </c>
      <c r="B52" s="3" t="s">
        <v>44</v>
      </c>
      <c r="C52" s="6">
        <f>(76+$C$64)/300</f>
        <v>0.29333333333333333</v>
      </c>
      <c r="D52" s="9"/>
      <c r="E52" s="4"/>
      <c r="F52" s="12"/>
      <c r="G52" s="4">
        <v>0</v>
      </c>
      <c r="H52" s="12"/>
    </row>
    <row r="53" spans="1:8" ht="16.5" customHeight="1">
      <c r="A53" s="2">
        <v>24</v>
      </c>
      <c r="B53" s="3" t="s">
        <v>154</v>
      </c>
      <c r="C53" s="6">
        <f>(24+$C$64)/300</f>
        <v>0.12</v>
      </c>
      <c r="D53" s="9"/>
      <c r="E53" s="4"/>
      <c r="F53" s="12"/>
      <c r="G53" s="4">
        <v>0</v>
      </c>
      <c r="H53" s="12"/>
    </row>
    <row r="54" spans="1:8" ht="16.5" customHeight="1">
      <c r="A54" s="2">
        <v>25</v>
      </c>
      <c r="B54" s="3" t="s">
        <v>155</v>
      </c>
      <c r="C54" s="6">
        <f>(24+$C$64)/300</f>
        <v>0.12</v>
      </c>
      <c r="D54" s="9"/>
      <c r="E54" s="4"/>
      <c r="F54" s="12"/>
      <c r="G54" s="4">
        <v>0</v>
      </c>
      <c r="H54" s="12"/>
    </row>
    <row r="55" spans="1:8" ht="16.5" customHeight="1">
      <c r="A55" s="2">
        <v>26</v>
      </c>
      <c r="B55" s="3" t="s">
        <v>46</v>
      </c>
      <c r="C55" s="6">
        <f>(60+$C$64)/300</f>
        <v>0.24</v>
      </c>
      <c r="D55" s="9"/>
      <c r="E55" s="4"/>
      <c r="F55" s="12"/>
      <c r="G55" s="4">
        <v>0</v>
      </c>
      <c r="H55" s="12"/>
    </row>
    <row r="56" spans="1:8" ht="16.5" customHeight="1">
      <c r="A56" s="2">
        <v>27</v>
      </c>
      <c r="B56" s="3" t="s">
        <v>47</v>
      </c>
      <c r="C56" s="6">
        <f>(60+$C$64)/300</f>
        <v>0.24</v>
      </c>
      <c r="D56" s="9"/>
      <c r="E56" s="4"/>
      <c r="F56" s="12"/>
      <c r="G56" s="4">
        <v>0</v>
      </c>
      <c r="H56" s="12"/>
    </row>
    <row r="57" spans="1:8" ht="16.5" customHeight="1">
      <c r="A57" s="2">
        <v>28</v>
      </c>
      <c r="B57" s="15" t="s">
        <v>120</v>
      </c>
      <c r="C57" s="6">
        <f>(18+$C$64)/181</f>
        <v>0.16574585635359115</v>
      </c>
      <c r="D57" s="9"/>
      <c r="E57" s="4"/>
      <c r="F57" s="12"/>
      <c r="G57" s="4">
        <v>0</v>
      </c>
      <c r="H57" s="12"/>
    </row>
    <row r="58" spans="1:8" ht="16.5" customHeight="1">
      <c r="A58" s="2">
        <v>29</v>
      </c>
      <c r="B58" s="3" t="s">
        <v>121</v>
      </c>
      <c r="C58" s="6">
        <f>(18+$C$64)/181</f>
        <v>0.16574585635359115</v>
      </c>
      <c r="D58" s="9"/>
      <c r="E58" s="4"/>
      <c r="F58" s="12"/>
      <c r="G58" s="4">
        <v>0</v>
      </c>
      <c r="H58" s="12"/>
    </row>
    <row r="59" spans="1:8" ht="16.5" customHeight="1">
      <c r="A59" s="2">
        <v>30</v>
      </c>
      <c r="B59" s="3" t="s">
        <v>122</v>
      </c>
      <c r="C59" s="6">
        <f>(24+$C$64)/181</f>
        <v>0.19889502762430938</v>
      </c>
      <c r="D59" s="9"/>
      <c r="E59" s="4"/>
      <c r="F59" s="12"/>
      <c r="G59" s="4">
        <v>0</v>
      </c>
      <c r="H59" s="12"/>
    </row>
    <row r="60" spans="1:8" ht="16.5" customHeight="1">
      <c r="A60" s="2">
        <v>31</v>
      </c>
      <c r="B60" s="3" t="s">
        <v>146</v>
      </c>
      <c r="C60" s="6">
        <f>(18+$C$64)/181</f>
        <v>0.16574585635359115</v>
      </c>
      <c r="D60" s="9"/>
      <c r="E60" s="11"/>
      <c r="F60" s="12"/>
      <c r="G60" s="4">
        <v>0</v>
      </c>
      <c r="H60" s="12"/>
    </row>
    <row r="61" spans="1:8" ht="16.5" customHeight="1">
      <c r="A61" s="2">
        <v>32</v>
      </c>
      <c r="B61" s="3" t="s">
        <v>156</v>
      </c>
      <c r="C61" s="6">
        <f>(-1+$C$64)/181</f>
        <v>0.06077348066298342</v>
      </c>
      <c r="D61" s="9"/>
      <c r="E61" s="11"/>
      <c r="F61" s="12"/>
      <c r="G61" s="4">
        <v>0</v>
      </c>
      <c r="H61" s="12"/>
    </row>
    <row r="62" spans="1:8" ht="16.5" customHeight="1">
      <c r="A62" s="2">
        <v>33</v>
      </c>
      <c r="B62" s="3" t="s">
        <v>29</v>
      </c>
      <c r="C62" s="6">
        <f>(72+$C$64)/300</f>
        <v>0.28</v>
      </c>
      <c r="D62" s="9"/>
      <c r="E62" s="4"/>
      <c r="F62" s="12"/>
      <c r="G62" s="4">
        <v>0</v>
      </c>
      <c r="H62" s="12"/>
    </row>
    <row r="63" spans="1:8" ht="49.5" customHeight="1">
      <c r="A63" s="2">
        <v>34</v>
      </c>
      <c r="B63" s="3" t="s">
        <v>157</v>
      </c>
      <c r="C63" s="6">
        <f>(65+$C$64)/180</f>
        <v>0.42777777777777776</v>
      </c>
      <c r="D63" s="9">
        <v>3</v>
      </c>
      <c r="E63" s="11" t="s">
        <v>182</v>
      </c>
      <c r="F63" s="12" t="s">
        <v>183</v>
      </c>
      <c r="G63" s="4" t="s">
        <v>185</v>
      </c>
      <c r="H63" s="12" t="s">
        <v>186</v>
      </c>
    </row>
    <row r="64" spans="3:8" ht="15">
      <c r="C64" s="7">
        <v>12</v>
      </c>
      <c r="D64" s="7"/>
      <c r="E64" s="5"/>
      <c r="F64" s="5"/>
      <c r="G64" s="5"/>
      <c r="H64" s="5"/>
    </row>
    <row r="65" spans="1:8" ht="14.25" customHeight="1">
      <c r="A65" s="1" t="s">
        <v>40</v>
      </c>
      <c r="B65" s="65" t="s">
        <v>115</v>
      </c>
      <c r="C65" s="65"/>
      <c r="D65" s="65"/>
      <c r="E65" s="65"/>
      <c r="F65" s="65"/>
      <c r="G65" s="65"/>
      <c r="H65" s="65"/>
    </row>
  </sheetData>
  <sheetProtection/>
  <mergeCells count="6">
    <mergeCell ref="B29:H29"/>
    <mergeCell ref="B65:H65"/>
    <mergeCell ref="A1:H1"/>
    <mergeCell ref="A2:H2"/>
    <mergeCell ref="A3:H3"/>
    <mergeCell ref="B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70" zoomScaleNormal="70" zoomScalePageLayoutView="0" workbookViewId="0" topLeftCell="A21">
      <selection activeCell="D38" sqref="D38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11.57421875" style="1" customWidth="1"/>
    <col min="4" max="4" width="14.7109375" style="1" customWidth="1"/>
    <col min="5" max="5" width="12.7109375" style="1" customWidth="1"/>
    <col min="6" max="6" width="58.00390625" style="1" customWidth="1"/>
    <col min="7" max="7" width="12.57421875" style="1" customWidth="1"/>
    <col min="8" max="8" width="49.8515625" style="1" customWidth="1"/>
    <col min="9" max="16384" width="9.140625" style="1" customWidth="1"/>
  </cols>
  <sheetData>
    <row r="1" spans="1:8" ht="21" customHeight="1">
      <c r="A1" s="66" t="s">
        <v>153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16.5" customHeight="1">
      <c r="A6" s="2">
        <v>1</v>
      </c>
      <c r="B6" s="14" t="s">
        <v>5</v>
      </c>
      <c r="C6" s="8">
        <f>(77+$C$62)/60</f>
        <v>1.4833333333333334</v>
      </c>
      <c r="D6" s="9"/>
      <c r="E6" s="11"/>
      <c r="F6" s="12"/>
      <c r="G6" s="4">
        <v>0</v>
      </c>
      <c r="H6" s="12"/>
    </row>
    <row r="7" spans="1:8" ht="16.5" customHeight="1">
      <c r="A7" s="2">
        <v>2</v>
      </c>
      <c r="B7" s="3" t="s">
        <v>6</v>
      </c>
      <c r="C7" s="6">
        <f>(70+$C$62)/276</f>
        <v>0.2971014492753623</v>
      </c>
      <c r="D7" s="9"/>
      <c r="E7" s="11"/>
      <c r="F7" s="12"/>
      <c r="G7" s="4">
        <v>0</v>
      </c>
      <c r="H7" s="12"/>
    </row>
    <row r="8" spans="1:8" ht="16.5" customHeight="1">
      <c r="A8" s="2">
        <v>3</v>
      </c>
      <c r="B8" s="3" t="s">
        <v>7</v>
      </c>
      <c r="C8" s="6">
        <f>(72+$C$62)/288</f>
        <v>0.2916666666666667</v>
      </c>
      <c r="D8" s="9"/>
      <c r="E8" s="4"/>
      <c r="F8" s="12"/>
      <c r="G8" s="4">
        <v>0</v>
      </c>
      <c r="H8" s="12"/>
    </row>
    <row r="9" spans="1:8" ht="16.5" customHeight="1">
      <c r="A9" s="2">
        <v>4</v>
      </c>
      <c r="B9" s="3" t="s">
        <v>8</v>
      </c>
      <c r="C9" s="6">
        <f>(77+$C$62)/312</f>
        <v>0.28525641025641024</v>
      </c>
      <c r="D9" s="9"/>
      <c r="E9" s="11"/>
      <c r="F9" s="12"/>
      <c r="G9" s="4">
        <v>0</v>
      </c>
      <c r="H9" s="12"/>
    </row>
    <row r="10" spans="1:8" ht="16.5" customHeight="1">
      <c r="A10" s="2">
        <v>5</v>
      </c>
      <c r="B10" s="3" t="s">
        <v>9</v>
      </c>
      <c r="C10" s="6">
        <f>(80+$C$62)/420</f>
        <v>0.21904761904761905</v>
      </c>
      <c r="D10" s="9">
        <v>2</v>
      </c>
      <c r="E10" s="11">
        <v>42261</v>
      </c>
      <c r="F10" s="12" t="s">
        <v>148</v>
      </c>
      <c r="G10" s="4">
        <v>0</v>
      </c>
      <c r="H10" s="12"/>
    </row>
    <row r="11" spans="1:8" ht="16.5" customHeight="1">
      <c r="A11" s="2">
        <v>6</v>
      </c>
      <c r="B11" s="3" t="s">
        <v>10</v>
      </c>
      <c r="C11" s="6">
        <f>(80+$C$62)/420</f>
        <v>0.21904761904761905</v>
      </c>
      <c r="D11" s="9"/>
      <c r="E11" s="11"/>
      <c r="F11" s="12"/>
      <c r="G11" s="4">
        <v>0</v>
      </c>
      <c r="H11" s="12"/>
    </row>
    <row r="12" spans="1:8" ht="16.5" customHeight="1">
      <c r="A12" s="2">
        <v>7</v>
      </c>
      <c r="B12" s="3" t="s">
        <v>50</v>
      </c>
      <c r="C12" s="6">
        <f>(48+$C$62)/300</f>
        <v>0.2</v>
      </c>
      <c r="D12" s="9"/>
      <c r="E12" s="4"/>
      <c r="F12" s="12"/>
      <c r="G12" s="4">
        <v>0</v>
      </c>
      <c r="H12" s="12"/>
    </row>
    <row r="13" spans="1:8" ht="16.5" customHeight="1">
      <c r="A13" s="2">
        <v>8</v>
      </c>
      <c r="B13" s="3" t="s">
        <v>57</v>
      </c>
      <c r="C13" s="6">
        <f>(42+$C$62)/180</f>
        <v>0.3</v>
      </c>
      <c r="D13" s="9"/>
      <c r="E13" s="4"/>
      <c r="F13" s="12"/>
      <c r="G13" s="4">
        <v>0</v>
      </c>
      <c r="H13" s="12"/>
    </row>
    <row r="14" spans="1:8" ht="16.5" customHeight="1">
      <c r="A14" s="2">
        <v>9</v>
      </c>
      <c r="B14" s="3" t="s">
        <v>132</v>
      </c>
      <c r="C14" s="6">
        <f>(12+$C$62)/300</f>
        <v>0.08</v>
      </c>
      <c r="D14" s="9"/>
      <c r="E14" s="4"/>
      <c r="F14" s="12"/>
      <c r="G14" s="4"/>
      <c r="H14" s="12"/>
    </row>
    <row r="15" spans="1:8" ht="16.5" customHeight="1">
      <c r="A15" s="2">
        <v>10</v>
      </c>
      <c r="B15" s="3" t="s">
        <v>11</v>
      </c>
      <c r="C15" s="6">
        <f>(60+$C$62)/240</f>
        <v>0.3</v>
      </c>
      <c r="D15" s="9"/>
      <c r="E15" s="11"/>
      <c r="F15" s="12"/>
      <c r="G15" s="4">
        <v>0</v>
      </c>
      <c r="H15" s="12"/>
    </row>
    <row r="16" spans="1:8" ht="16.5" customHeight="1">
      <c r="A16" s="2">
        <v>11</v>
      </c>
      <c r="B16" s="3" t="s">
        <v>12</v>
      </c>
      <c r="C16" s="6">
        <f>(69+$C$62)/300</f>
        <v>0.27</v>
      </c>
      <c r="D16" s="9">
        <v>1</v>
      </c>
      <c r="E16" s="11">
        <v>42239</v>
      </c>
      <c r="F16" s="12" t="s">
        <v>145</v>
      </c>
      <c r="G16" s="4">
        <v>170</v>
      </c>
      <c r="H16" s="12" t="s">
        <v>147</v>
      </c>
    </row>
    <row r="17" spans="1:8" ht="58.5" customHeight="1">
      <c r="A17" s="2">
        <v>12</v>
      </c>
      <c r="B17" s="3" t="s">
        <v>45</v>
      </c>
      <c r="C17" s="6">
        <f>(48+$C$62)/300</f>
        <v>0.2</v>
      </c>
      <c r="D17" s="9">
        <v>4</v>
      </c>
      <c r="E17" s="11" t="s">
        <v>149</v>
      </c>
      <c r="F17" s="12" t="s">
        <v>150</v>
      </c>
      <c r="G17" s="4">
        <v>250</v>
      </c>
      <c r="H17" s="12" t="s">
        <v>151</v>
      </c>
    </row>
    <row r="18" spans="1:8" ht="16.5" customHeight="1">
      <c r="A18" s="2">
        <v>13</v>
      </c>
      <c r="B18" s="3" t="s">
        <v>13</v>
      </c>
      <c r="C18" s="6">
        <f>(63+$C$62)/150</f>
        <v>0.5</v>
      </c>
      <c r="D18" s="9"/>
      <c r="E18" s="11"/>
      <c r="F18" s="12"/>
      <c r="G18" s="4">
        <v>0</v>
      </c>
      <c r="H18" s="12"/>
    </row>
    <row r="19" spans="1:8" ht="16.5" customHeight="1">
      <c r="A19" s="2">
        <v>14</v>
      </c>
      <c r="B19" s="3" t="s">
        <v>131</v>
      </c>
      <c r="C19" s="6">
        <f>(2+$C$62)/180</f>
        <v>0.07777777777777778</v>
      </c>
      <c r="D19" s="9"/>
      <c r="E19" s="11"/>
      <c r="F19" s="12"/>
      <c r="G19" s="4">
        <v>0</v>
      </c>
      <c r="H19" s="12"/>
    </row>
    <row r="20" spans="1:8" ht="16.5" customHeight="1">
      <c r="A20" s="2">
        <v>15</v>
      </c>
      <c r="B20" s="3" t="s">
        <v>14</v>
      </c>
      <c r="C20" s="6">
        <f>(64+$C$62)/300</f>
        <v>0.25333333333333335</v>
      </c>
      <c r="D20" s="9"/>
      <c r="E20" s="11"/>
      <c r="F20" s="12"/>
      <c r="G20" s="4">
        <v>0</v>
      </c>
      <c r="H20" s="12"/>
    </row>
    <row r="21" spans="1:8" ht="16.5" customHeight="1">
      <c r="A21" s="2">
        <v>16</v>
      </c>
      <c r="B21" s="3" t="s">
        <v>41</v>
      </c>
      <c r="C21" s="6">
        <f>(53+$C$62)/180</f>
        <v>0.3611111111111111</v>
      </c>
      <c r="D21" s="9"/>
      <c r="E21" s="11"/>
      <c r="F21" s="12"/>
      <c r="G21" s="4">
        <v>0</v>
      </c>
      <c r="H21" s="12"/>
    </row>
    <row r="22" spans="1:8" ht="16.5" customHeight="1">
      <c r="A22" s="2">
        <v>17</v>
      </c>
      <c r="B22" s="16" t="s">
        <v>136</v>
      </c>
      <c r="C22" s="8" t="s">
        <v>139</v>
      </c>
      <c r="D22" s="9"/>
      <c r="E22" s="11"/>
      <c r="F22" s="12"/>
      <c r="G22" s="4">
        <v>0</v>
      </c>
      <c r="H22" s="12"/>
    </row>
    <row r="23" spans="1:8" ht="16.5" customHeight="1">
      <c r="A23" s="2">
        <v>18</v>
      </c>
      <c r="B23" s="3" t="s">
        <v>133</v>
      </c>
      <c r="C23" s="8" t="s">
        <v>139</v>
      </c>
      <c r="D23" s="9"/>
      <c r="E23" s="11"/>
      <c r="F23" s="12"/>
      <c r="G23" s="4">
        <v>0</v>
      </c>
      <c r="H23" s="12"/>
    </row>
    <row r="24" spans="1:8" ht="16.5" customHeight="1">
      <c r="A24" s="2">
        <v>19</v>
      </c>
      <c r="B24" s="3" t="s">
        <v>134</v>
      </c>
      <c r="C24" s="8" t="s">
        <v>139</v>
      </c>
      <c r="D24" s="9"/>
      <c r="E24" s="11"/>
      <c r="F24" s="12"/>
      <c r="G24" s="4">
        <v>0</v>
      </c>
      <c r="H24" s="12"/>
    </row>
    <row r="25" spans="1:8" ht="16.5" customHeight="1">
      <c r="A25" s="2">
        <v>20</v>
      </c>
      <c r="B25" s="3" t="s">
        <v>135</v>
      </c>
      <c r="C25" s="8" t="s">
        <v>139</v>
      </c>
      <c r="D25" s="9"/>
      <c r="E25" s="11"/>
      <c r="F25" s="12"/>
      <c r="G25" s="4">
        <v>0</v>
      </c>
      <c r="H25" s="12"/>
    </row>
    <row r="26" spans="1:8" ht="16.5" customHeight="1">
      <c r="A26" s="2">
        <v>21</v>
      </c>
      <c r="B26" s="3" t="s">
        <v>137</v>
      </c>
      <c r="C26" s="8" t="s">
        <v>139</v>
      </c>
      <c r="D26" s="9"/>
      <c r="E26" s="11"/>
      <c r="F26" s="12"/>
      <c r="G26" s="4">
        <v>0</v>
      </c>
      <c r="H26" s="12"/>
    </row>
    <row r="27" spans="1:8" ht="16.5" customHeight="1">
      <c r="A27" s="2">
        <v>22</v>
      </c>
      <c r="B27" s="3" t="s">
        <v>138</v>
      </c>
      <c r="C27" s="8" t="s">
        <v>139</v>
      </c>
      <c r="D27" s="9"/>
      <c r="E27" s="11"/>
      <c r="F27" s="12"/>
      <c r="G27" s="4">
        <v>0</v>
      </c>
      <c r="H27" s="12"/>
    </row>
    <row r="28" spans="1:8" ht="15.75" customHeight="1">
      <c r="A28" s="2"/>
      <c r="B28" s="62" t="s">
        <v>18</v>
      </c>
      <c r="C28" s="63"/>
      <c r="D28" s="63"/>
      <c r="E28" s="63"/>
      <c r="F28" s="63"/>
      <c r="G28" s="63"/>
      <c r="H28" s="64"/>
    </row>
    <row r="29" spans="1:8" ht="27" customHeight="1">
      <c r="A29" s="2">
        <v>1</v>
      </c>
      <c r="B29" s="3" t="s">
        <v>15</v>
      </c>
      <c r="C29" s="6">
        <f>(77+$C$62)/408</f>
        <v>0.2181372549019608</v>
      </c>
      <c r="D29" s="9"/>
      <c r="E29" s="11"/>
      <c r="F29" s="13"/>
      <c r="G29" s="4">
        <v>0</v>
      </c>
      <c r="H29" s="12"/>
    </row>
    <row r="30" spans="1:8" ht="27" customHeight="1">
      <c r="A30" s="2">
        <v>2</v>
      </c>
      <c r="B30" s="3" t="s">
        <v>16</v>
      </c>
      <c r="C30" s="6">
        <f>(77+$C$62)/408</f>
        <v>0.2181372549019608</v>
      </c>
      <c r="D30" s="9">
        <v>7</v>
      </c>
      <c r="E30" s="11" t="s">
        <v>140</v>
      </c>
      <c r="F30" s="13" t="s">
        <v>143</v>
      </c>
      <c r="G30" s="4">
        <v>0</v>
      </c>
      <c r="H30" s="12" t="s">
        <v>144</v>
      </c>
    </row>
    <row r="31" spans="1:8" ht="16.5" customHeight="1">
      <c r="A31" s="2">
        <v>3</v>
      </c>
      <c r="B31" s="3" t="s">
        <v>34</v>
      </c>
      <c r="C31" s="6">
        <f>(70+$C$62)/276</f>
        <v>0.2971014492753623</v>
      </c>
      <c r="D31" s="9"/>
      <c r="E31" s="4"/>
      <c r="F31" s="13"/>
      <c r="G31" s="4">
        <v>0</v>
      </c>
      <c r="H31" s="12"/>
    </row>
    <row r="32" spans="1:8" ht="16.5" customHeight="1">
      <c r="A32" s="2">
        <v>4</v>
      </c>
      <c r="B32" s="3" t="s">
        <v>35</v>
      </c>
      <c r="C32" s="6">
        <f>(70+$C$62)/276</f>
        <v>0.2971014492753623</v>
      </c>
      <c r="D32" s="9"/>
      <c r="E32" s="4"/>
      <c r="F32" s="13"/>
      <c r="G32" s="4">
        <v>0</v>
      </c>
      <c r="H32" s="12"/>
    </row>
    <row r="33" spans="1:8" ht="30.75" customHeight="1">
      <c r="A33" s="2">
        <v>5</v>
      </c>
      <c r="B33" s="3" t="s">
        <v>36</v>
      </c>
      <c r="C33" s="6">
        <f>(72+$C$62)/300</f>
        <v>0.28</v>
      </c>
      <c r="D33" s="9"/>
      <c r="E33" s="11"/>
      <c r="F33" s="13"/>
      <c r="G33" s="4">
        <v>0</v>
      </c>
      <c r="H33" s="12"/>
    </row>
    <row r="34" spans="1:8" ht="16.5" customHeight="1">
      <c r="A34" s="2">
        <v>6</v>
      </c>
      <c r="B34" s="3" t="s">
        <v>37</v>
      </c>
      <c r="C34" s="6">
        <f>(72+$C$62)/300</f>
        <v>0.28</v>
      </c>
      <c r="D34" s="9"/>
      <c r="E34" s="11"/>
      <c r="F34" s="12"/>
      <c r="G34" s="4">
        <v>0</v>
      </c>
      <c r="H34" s="12"/>
    </row>
    <row r="35" spans="1:8" ht="16.5" customHeight="1">
      <c r="A35" s="2">
        <v>7</v>
      </c>
      <c r="B35" s="3" t="s">
        <v>32</v>
      </c>
      <c r="C35" s="6">
        <f>(77+$C$62)/312</f>
        <v>0.28525641025641024</v>
      </c>
      <c r="D35" s="9"/>
      <c r="E35" s="4"/>
      <c r="F35" s="13"/>
      <c r="G35" s="4">
        <v>0</v>
      </c>
      <c r="H35" s="12"/>
    </row>
    <row r="36" spans="1:8" ht="16.5" customHeight="1">
      <c r="A36" s="2">
        <v>8</v>
      </c>
      <c r="B36" s="3" t="s">
        <v>33</v>
      </c>
      <c r="C36" s="6">
        <f>(77+$C$62)/312</f>
        <v>0.28525641025641024</v>
      </c>
      <c r="D36" s="9"/>
      <c r="E36" s="4"/>
      <c r="F36" s="13"/>
      <c r="G36" s="4">
        <v>0</v>
      </c>
      <c r="H36" s="12"/>
    </row>
    <row r="37" spans="1:8" ht="16.5" customHeight="1">
      <c r="A37" s="2">
        <v>9</v>
      </c>
      <c r="B37" s="3" t="s">
        <v>31</v>
      </c>
      <c r="C37" s="6">
        <f>(82+$C$62)/300</f>
        <v>0.31333333333333335</v>
      </c>
      <c r="D37" s="9"/>
      <c r="E37" s="11"/>
      <c r="F37" s="13"/>
      <c r="G37" s="4">
        <v>0</v>
      </c>
      <c r="H37" s="12"/>
    </row>
    <row r="38" spans="1:8" ht="16.5" customHeight="1">
      <c r="A38" s="2">
        <v>10</v>
      </c>
      <c r="B38" s="3" t="s">
        <v>30</v>
      </c>
      <c r="C38" s="6">
        <f>(82+$C$62)/300</f>
        <v>0.31333333333333335</v>
      </c>
      <c r="D38" s="9"/>
      <c r="E38" s="11"/>
      <c r="F38" s="12"/>
      <c r="G38" s="4">
        <v>0</v>
      </c>
      <c r="H38" s="12"/>
    </row>
    <row r="39" spans="1:8" ht="16.5" customHeight="1">
      <c r="A39" s="2">
        <v>11</v>
      </c>
      <c r="B39" s="3" t="s">
        <v>38</v>
      </c>
      <c r="C39" s="6">
        <f>(60+$C$62)/240</f>
        <v>0.3</v>
      </c>
      <c r="D39" s="9"/>
      <c r="E39" s="4"/>
      <c r="F39" s="13"/>
      <c r="G39" s="4">
        <v>0</v>
      </c>
      <c r="H39" s="12"/>
    </row>
    <row r="40" spans="1:8" ht="16.5" customHeight="1">
      <c r="A40" s="2">
        <v>12</v>
      </c>
      <c r="B40" s="3" t="s">
        <v>19</v>
      </c>
      <c r="C40" s="6">
        <f>(77+$C$62)/264</f>
        <v>0.3371212121212121</v>
      </c>
      <c r="D40" s="9"/>
      <c r="E40" s="11"/>
      <c r="F40" s="13"/>
      <c r="G40" s="4">
        <v>0</v>
      </c>
      <c r="H40" s="12"/>
    </row>
    <row r="41" spans="1:8" ht="16.5" customHeight="1">
      <c r="A41" s="2">
        <v>13</v>
      </c>
      <c r="B41" s="3" t="s">
        <v>20</v>
      </c>
      <c r="C41" s="6">
        <f>(77+$C$62)/264</f>
        <v>0.3371212121212121</v>
      </c>
      <c r="D41" s="9"/>
      <c r="E41" s="11"/>
      <c r="F41" s="13"/>
      <c r="G41" s="4">
        <v>0</v>
      </c>
      <c r="H41" s="12"/>
    </row>
    <row r="42" spans="1:8" ht="16.5" customHeight="1">
      <c r="A42" s="2">
        <v>14</v>
      </c>
      <c r="B42" s="3" t="s">
        <v>21</v>
      </c>
      <c r="C42" s="6">
        <f>(77+$C$62)/264</f>
        <v>0.3371212121212121</v>
      </c>
      <c r="D42" s="9"/>
      <c r="E42" s="11"/>
      <c r="F42" s="13"/>
      <c r="G42" s="4">
        <v>0</v>
      </c>
      <c r="H42" s="12"/>
    </row>
    <row r="43" spans="1:8" ht="16.5" customHeight="1">
      <c r="A43" s="2">
        <v>15</v>
      </c>
      <c r="B43" s="3" t="s">
        <v>22</v>
      </c>
      <c r="C43" s="6">
        <f>(77+$C$62)/264</f>
        <v>0.3371212121212121</v>
      </c>
      <c r="D43" s="9"/>
      <c r="E43" s="11"/>
      <c r="F43" s="13"/>
      <c r="G43" s="4">
        <v>0</v>
      </c>
      <c r="H43" s="12"/>
    </row>
    <row r="44" spans="1:8" ht="16.5" customHeight="1">
      <c r="A44" s="2">
        <v>16</v>
      </c>
      <c r="B44" s="3" t="s">
        <v>23</v>
      </c>
      <c r="C44" s="6">
        <f>(82+$C$62)/300</f>
        <v>0.31333333333333335</v>
      </c>
      <c r="D44" s="9"/>
      <c r="E44" s="4"/>
      <c r="F44" s="12"/>
      <c r="G44" s="4">
        <v>0</v>
      </c>
      <c r="H44" s="12"/>
    </row>
    <row r="45" spans="1:8" ht="16.5" customHeight="1">
      <c r="A45" s="2">
        <v>17</v>
      </c>
      <c r="B45" s="3" t="s">
        <v>24</v>
      </c>
      <c r="C45" s="6">
        <f>(82+$C$62)/300</f>
        <v>0.31333333333333335</v>
      </c>
      <c r="D45" s="9"/>
      <c r="E45" s="4"/>
      <c r="F45" s="12"/>
      <c r="G45" s="4">
        <v>0</v>
      </c>
      <c r="H45" s="12"/>
    </row>
    <row r="46" spans="1:8" ht="16.5" customHeight="1">
      <c r="A46" s="2">
        <v>18</v>
      </c>
      <c r="B46" s="3" t="s">
        <v>60</v>
      </c>
      <c r="C46" s="6">
        <f>(42+$C$62)/180</f>
        <v>0.3</v>
      </c>
      <c r="D46" s="9"/>
      <c r="E46" s="4"/>
      <c r="F46" s="12"/>
      <c r="G46" s="4">
        <v>0</v>
      </c>
      <c r="H46" s="12"/>
    </row>
    <row r="47" spans="1:8" ht="16.5" customHeight="1">
      <c r="A47" s="2">
        <v>19</v>
      </c>
      <c r="B47" s="3" t="s">
        <v>61</v>
      </c>
      <c r="C47" s="6">
        <f>(42+$C$62)/180</f>
        <v>0.3</v>
      </c>
      <c r="D47" s="9"/>
      <c r="E47" s="4"/>
      <c r="F47" s="12"/>
      <c r="G47" s="4">
        <v>0</v>
      </c>
      <c r="H47" s="12"/>
    </row>
    <row r="48" spans="1:8" ht="16.5" customHeight="1">
      <c r="A48" s="2">
        <v>20</v>
      </c>
      <c r="B48" s="3" t="s">
        <v>53</v>
      </c>
      <c r="C48" s="6">
        <f>(48+$C$62)/300</f>
        <v>0.2</v>
      </c>
      <c r="D48" s="9"/>
      <c r="E48" s="11"/>
      <c r="F48" s="12"/>
      <c r="G48" s="4">
        <v>0</v>
      </c>
      <c r="H48" s="12"/>
    </row>
    <row r="49" spans="1:8" ht="16.5" customHeight="1">
      <c r="A49" s="2">
        <v>21</v>
      </c>
      <c r="B49" s="3" t="s">
        <v>52</v>
      </c>
      <c r="C49" s="6">
        <f>(48+$C$62)/300</f>
        <v>0.2</v>
      </c>
      <c r="D49" s="9"/>
      <c r="E49" s="4"/>
      <c r="F49" s="12"/>
      <c r="G49" s="4">
        <v>0</v>
      </c>
      <c r="H49" s="12"/>
    </row>
    <row r="50" spans="1:8" ht="16.5" customHeight="1">
      <c r="A50" s="2">
        <v>22</v>
      </c>
      <c r="B50" s="3" t="s">
        <v>43</v>
      </c>
      <c r="C50" s="6">
        <f>(64+$C$62)/300</f>
        <v>0.25333333333333335</v>
      </c>
      <c r="D50" s="9"/>
      <c r="E50" s="4"/>
      <c r="F50" s="12"/>
      <c r="G50" s="4">
        <v>0</v>
      </c>
      <c r="H50" s="12"/>
    </row>
    <row r="51" spans="1:8" ht="16.5" customHeight="1">
      <c r="A51" s="2">
        <v>23</v>
      </c>
      <c r="B51" s="3" t="s">
        <v>44</v>
      </c>
      <c r="C51" s="6">
        <f>(64+$C$62)/300</f>
        <v>0.25333333333333335</v>
      </c>
      <c r="D51" s="9"/>
      <c r="E51" s="4"/>
      <c r="F51" s="12"/>
      <c r="G51" s="4">
        <v>0</v>
      </c>
      <c r="H51" s="12"/>
    </row>
    <row r="52" spans="1:8" ht="16.5" customHeight="1">
      <c r="A52" s="2">
        <v>24</v>
      </c>
      <c r="B52" s="3" t="s">
        <v>154</v>
      </c>
      <c r="C52" s="6">
        <f>(12+$C$62)/300</f>
        <v>0.08</v>
      </c>
      <c r="D52" s="9"/>
      <c r="E52" s="4"/>
      <c r="F52" s="12"/>
      <c r="G52" s="4">
        <v>0</v>
      </c>
      <c r="H52" s="12"/>
    </row>
    <row r="53" spans="1:8" ht="16.5" customHeight="1">
      <c r="A53" s="2">
        <v>25</v>
      </c>
      <c r="B53" s="3" t="s">
        <v>155</v>
      </c>
      <c r="C53" s="6">
        <f>(12+$C$62)/300</f>
        <v>0.08</v>
      </c>
      <c r="D53" s="9"/>
      <c r="E53" s="4"/>
      <c r="F53" s="12"/>
      <c r="G53" s="4">
        <v>0</v>
      </c>
      <c r="H53" s="12"/>
    </row>
    <row r="54" spans="1:8" ht="16.5" customHeight="1">
      <c r="A54" s="2">
        <v>26</v>
      </c>
      <c r="B54" s="3" t="s">
        <v>46</v>
      </c>
      <c r="C54" s="6">
        <f>(48+$C$62)/300</f>
        <v>0.2</v>
      </c>
      <c r="D54" s="9"/>
      <c r="E54" s="4"/>
      <c r="F54" s="12"/>
      <c r="G54" s="4">
        <v>0</v>
      </c>
      <c r="H54" s="12"/>
    </row>
    <row r="55" spans="1:8" ht="16.5" customHeight="1">
      <c r="A55" s="2">
        <v>27</v>
      </c>
      <c r="B55" s="3" t="s">
        <v>47</v>
      </c>
      <c r="C55" s="6">
        <f>(48+$C$62)/300</f>
        <v>0.2</v>
      </c>
      <c r="D55" s="9"/>
      <c r="E55" s="4"/>
      <c r="F55" s="12"/>
      <c r="G55" s="4">
        <v>0</v>
      </c>
      <c r="H55" s="12"/>
    </row>
    <row r="56" spans="1:8" ht="16.5" customHeight="1">
      <c r="A56" s="2">
        <v>28</v>
      </c>
      <c r="B56" s="15" t="s">
        <v>120</v>
      </c>
      <c r="C56" s="6">
        <f>(6+$C$62)/181</f>
        <v>0.09944751381215469</v>
      </c>
      <c r="D56" s="9"/>
      <c r="E56" s="4"/>
      <c r="F56" s="12"/>
      <c r="G56" s="4">
        <v>0</v>
      </c>
      <c r="H56" s="12"/>
    </row>
    <row r="57" spans="1:8" ht="16.5" customHeight="1">
      <c r="A57" s="2">
        <v>29</v>
      </c>
      <c r="B57" s="3" t="s">
        <v>121</v>
      </c>
      <c r="C57" s="6">
        <f>(4+$C$62)/181</f>
        <v>0.08839779005524862</v>
      </c>
      <c r="D57" s="9"/>
      <c r="E57" s="4"/>
      <c r="F57" s="12"/>
      <c r="G57" s="4">
        <v>0</v>
      </c>
      <c r="H57" s="12"/>
    </row>
    <row r="58" spans="1:8" ht="16.5" customHeight="1">
      <c r="A58" s="2">
        <v>30</v>
      </c>
      <c r="B58" s="3" t="s">
        <v>122</v>
      </c>
      <c r="C58" s="6">
        <f>(12+$C$62)/181</f>
        <v>0.13259668508287292</v>
      </c>
      <c r="D58" s="9"/>
      <c r="E58" s="4"/>
      <c r="F58" s="12"/>
      <c r="G58" s="4">
        <v>0</v>
      </c>
      <c r="H58" s="12"/>
    </row>
    <row r="59" spans="1:8" ht="16.5" customHeight="1">
      <c r="A59" s="2">
        <v>31</v>
      </c>
      <c r="B59" s="3" t="s">
        <v>146</v>
      </c>
      <c r="C59" s="6">
        <f>(6+$C$62)/181</f>
        <v>0.09944751381215469</v>
      </c>
      <c r="D59" s="9">
        <v>1</v>
      </c>
      <c r="E59" s="11">
        <v>42135</v>
      </c>
      <c r="F59" s="12" t="s">
        <v>141</v>
      </c>
      <c r="G59" s="4">
        <v>0</v>
      </c>
      <c r="H59" s="12" t="s">
        <v>142</v>
      </c>
    </row>
    <row r="60" spans="1:8" ht="16.5" customHeight="1">
      <c r="A60" s="2">
        <v>32</v>
      </c>
      <c r="B60" s="3" t="s">
        <v>29</v>
      </c>
      <c r="C60" s="6">
        <f>(60+$C$62)/300</f>
        <v>0.24</v>
      </c>
      <c r="D60" s="9"/>
      <c r="E60" s="4"/>
      <c r="F60" s="12"/>
      <c r="G60" s="4">
        <v>0</v>
      </c>
      <c r="H60" s="12"/>
    </row>
    <row r="61" spans="1:8" ht="16.5" customHeight="1">
      <c r="A61" s="2">
        <v>33</v>
      </c>
      <c r="B61" s="3" t="s">
        <v>58</v>
      </c>
      <c r="C61" s="6">
        <f>(53+$C$62)/180</f>
        <v>0.3611111111111111</v>
      </c>
      <c r="D61" s="9"/>
      <c r="E61" s="11"/>
      <c r="F61" s="12"/>
      <c r="G61" s="4">
        <v>0</v>
      </c>
      <c r="H61" s="12"/>
    </row>
    <row r="62" spans="3:8" ht="15">
      <c r="C62" s="7">
        <v>12</v>
      </c>
      <c r="D62" s="7"/>
      <c r="E62" s="5"/>
      <c r="F62" s="5"/>
      <c r="G62" s="5"/>
      <c r="H62" s="5"/>
    </row>
    <row r="63" spans="1:8" ht="14.25" customHeight="1">
      <c r="A63" s="1" t="s">
        <v>40</v>
      </c>
      <c r="B63" s="65" t="s">
        <v>115</v>
      </c>
      <c r="C63" s="65"/>
      <c r="D63" s="65"/>
      <c r="E63" s="65"/>
      <c r="F63" s="65"/>
      <c r="G63" s="65"/>
      <c r="H63" s="65"/>
    </row>
  </sheetData>
  <sheetProtection/>
  <mergeCells count="6">
    <mergeCell ref="B28:H28"/>
    <mergeCell ref="B63:H63"/>
    <mergeCell ref="A1:H1"/>
    <mergeCell ref="A2:H2"/>
    <mergeCell ref="A3:H3"/>
    <mergeCell ref="B5:H5"/>
  </mergeCells>
  <printOptions/>
  <pageMargins left="1.41" right="0.31" top="0.67" bottom="0.33" header="0.5" footer="0.26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="70" zoomScaleNormal="70" zoomScalePageLayoutView="0" workbookViewId="0" topLeftCell="A6">
      <selection activeCell="D30" sqref="D30:H30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11.57421875" style="1" customWidth="1"/>
    <col min="4" max="4" width="14.7109375" style="1" customWidth="1"/>
    <col min="5" max="5" width="12.7109375" style="1" customWidth="1"/>
    <col min="6" max="6" width="58.00390625" style="1" customWidth="1"/>
    <col min="7" max="7" width="12.57421875" style="1" customWidth="1"/>
    <col min="8" max="8" width="49.8515625" style="1" customWidth="1"/>
    <col min="9" max="16384" width="9.140625" style="1" customWidth="1"/>
  </cols>
  <sheetData>
    <row r="1" spans="1:8" ht="21" customHeight="1">
      <c r="A1" s="66" t="s">
        <v>127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41.25" customHeight="1">
      <c r="A6" s="2">
        <v>1</v>
      </c>
      <c r="B6" s="14" t="s">
        <v>5</v>
      </c>
      <c r="C6" s="8">
        <f>(53+$C$53)/60</f>
        <v>1.2833333333333334</v>
      </c>
      <c r="D6" s="9">
        <v>3</v>
      </c>
      <c r="E6" s="11" t="s">
        <v>113</v>
      </c>
      <c r="F6" s="12" t="s">
        <v>114</v>
      </c>
      <c r="G6" s="4" t="s">
        <v>124</v>
      </c>
      <c r="H6" s="12" t="s">
        <v>116</v>
      </c>
    </row>
    <row r="7" spans="1:8" ht="16.5" customHeight="1">
      <c r="A7" s="2">
        <v>2</v>
      </c>
      <c r="B7" s="3" t="s">
        <v>6</v>
      </c>
      <c r="C7" s="6">
        <f>(46+$C$53)/276</f>
        <v>0.2536231884057971</v>
      </c>
      <c r="D7" s="9">
        <v>1</v>
      </c>
      <c r="E7" s="11">
        <v>41838</v>
      </c>
      <c r="F7" s="12" t="s">
        <v>119</v>
      </c>
      <c r="G7" s="4">
        <v>0</v>
      </c>
      <c r="H7" s="12"/>
    </row>
    <row r="8" spans="1:8" ht="16.5" customHeight="1">
      <c r="A8" s="2">
        <v>3</v>
      </c>
      <c r="B8" s="3" t="s">
        <v>7</v>
      </c>
      <c r="C8" s="6">
        <f>(48+$C$53)/288</f>
        <v>0.25</v>
      </c>
      <c r="D8" s="9"/>
      <c r="E8" s="4"/>
      <c r="F8" s="12"/>
      <c r="G8" s="4">
        <v>0</v>
      </c>
      <c r="H8" s="12"/>
    </row>
    <row r="9" spans="1:8" ht="16.5" customHeight="1">
      <c r="A9" s="2">
        <v>4</v>
      </c>
      <c r="B9" s="3" t="s">
        <v>8</v>
      </c>
      <c r="C9" s="6">
        <f>(53+$C$53)/312</f>
        <v>0.2467948717948718</v>
      </c>
      <c r="D9" s="9"/>
      <c r="E9" s="11"/>
      <c r="F9" s="12"/>
      <c r="G9" s="4">
        <v>0</v>
      </c>
      <c r="H9" s="12"/>
    </row>
    <row r="10" spans="1:8" ht="16.5" customHeight="1">
      <c r="A10" s="2">
        <v>5</v>
      </c>
      <c r="B10" s="3" t="s">
        <v>9</v>
      </c>
      <c r="C10" s="6">
        <f>(56+$C$53)/420</f>
        <v>0.19047619047619047</v>
      </c>
      <c r="D10" s="9">
        <v>1</v>
      </c>
      <c r="E10" s="11">
        <v>41936</v>
      </c>
      <c r="F10" s="12" t="s">
        <v>125</v>
      </c>
      <c r="G10" s="4">
        <v>0</v>
      </c>
      <c r="H10" s="12"/>
    </row>
    <row r="11" spans="1:8" ht="16.5" customHeight="1">
      <c r="A11" s="2">
        <v>6</v>
      </c>
      <c r="B11" s="3" t="s">
        <v>10</v>
      </c>
      <c r="C11" s="6">
        <f>(56+$C$53)/420</f>
        <v>0.19047619047619047</v>
      </c>
      <c r="D11" s="9"/>
      <c r="E11" s="11"/>
      <c r="F11" s="12"/>
      <c r="G11" s="4">
        <v>0</v>
      </c>
      <c r="H11" s="12"/>
    </row>
    <row r="12" spans="1:8" ht="16.5" customHeight="1">
      <c r="A12" s="2">
        <v>7</v>
      </c>
      <c r="B12" s="3" t="s">
        <v>50</v>
      </c>
      <c r="C12" s="6">
        <f>(24+$C$53)/300</f>
        <v>0.16</v>
      </c>
      <c r="D12" s="9"/>
      <c r="E12" s="4"/>
      <c r="F12" s="12"/>
      <c r="G12" s="4">
        <v>0</v>
      </c>
      <c r="H12" s="12"/>
    </row>
    <row r="13" spans="1:8" ht="16.5" customHeight="1">
      <c r="A13" s="2">
        <v>8</v>
      </c>
      <c r="B13" s="3" t="s">
        <v>57</v>
      </c>
      <c r="C13" s="6">
        <f>(18+$C$53)/180</f>
        <v>0.23333333333333334</v>
      </c>
      <c r="D13" s="9"/>
      <c r="E13" s="4"/>
      <c r="F13" s="12"/>
      <c r="G13" s="4">
        <v>0</v>
      </c>
      <c r="H13" s="12"/>
    </row>
    <row r="14" spans="1:8" ht="16.5" customHeight="1">
      <c r="A14" s="2">
        <v>9</v>
      </c>
      <c r="B14" s="3" t="s">
        <v>11</v>
      </c>
      <c r="C14" s="6">
        <f>(36+$C$53)/240</f>
        <v>0.25</v>
      </c>
      <c r="D14" s="9"/>
      <c r="E14" s="11"/>
      <c r="F14" s="12"/>
      <c r="G14" s="4">
        <v>0</v>
      </c>
      <c r="H14" s="12"/>
    </row>
    <row r="15" spans="1:8" ht="16.5" customHeight="1">
      <c r="A15" s="2">
        <v>10</v>
      </c>
      <c r="B15" s="3" t="s">
        <v>12</v>
      </c>
      <c r="C15" s="6">
        <f>(45+$C$53)/300</f>
        <v>0.23</v>
      </c>
      <c r="D15" s="9"/>
      <c r="E15" s="4"/>
      <c r="F15" s="12"/>
      <c r="G15" s="4">
        <v>0</v>
      </c>
      <c r="H15" s="12"/>
    </row>
    <row r="16" spans="1:8" ht="16.5" customHeight="1">
      <c r="A16" s="2">
        <v>11</v>
      </c>
      <c r="B16" s="3" t="s">
        <v>45</v>
      </c>
      <c r="C16" s="6">
        <f>(24+$C$53)/300</f>
        <v>0.16</v>
      </c>
      <c r="D16" s="9"/>
      <c r="E16" s="11"/>
      <c r="F16" s="12"/>
      <c r="G16" s="4">
        <v>0</v>
      </c>
      <c r="H16" s="12"/>
    </row>
    <row r="17" spans="1:8" ht="16.5" customHeight="1">
      <c r="A17" s="2">
        <v>12</v>
      </c>
      <c r="B17" s="3" t="s">
        <v>13</v>
      </c>
      <c r="C17" s="6">
        <f>(39+$C$53)/150</f>
        <v>0.42</v>
      </c>
      <c r="D17" s="9"/>
      <c r="E17" s="11"/>
      <c r="F17" s="12"/>
      <c r="G17" s="4">
        <v>0</v>
      </c>
      <c r="H17" s="12"/>
    </row>
    <row r="18" spans="1:8" ht="16.5" customHeight="1">
      <c r="A18" s="2">
        <v>13</v>
      </c>
      <c r="B18" s="3" t="s">
        <v>131</v>
      </c>
      <c r="C18" s="6">
        <f>(-22+$C$53)/180</f>
        <v>0.011111111111111112</v>
      </c>
      <c r="D18" s="9"/>
      <c r="E18" s="11"/>
      <c r="F18" s="12"/>
      <c r="G18" s="4">
        <v>0</v>
      </c>
      <c r="H18" s="12"/>
    </row>
    <row r="19" spans="1:8" ht="16.5" customHeight="1">
      <c r="A19" s="2">
        <v>14</v>
      </c>
      <c r="B19" s="3" t="s">
        <v>14</v>
      </c>
      <c r="C19" s="6">
        <f>(40+$C$53)/300</f>
        <v>0.21333333333333335</v>
      </c>
      <c r="D19" s="9"/>
      <c r="E19" s="11"/>
      <c r="F19" s="12"/>
      <c r="G19" s="4">
        <v>0</v>
      </c>
      <c r="H19" s="12"/>
    </row>
    <row r="20" spans="1:8" ht="16.5" customHeight="1">
      <c r="A20" s="2">
        <v>15</v>
      </c>
      <c r="B20" s="3" t="s">
        <v>41</v>
      </c>
      <c r="C20" s="6">
        <f>(29+$C$53)/180</f>
        <v>0.29444444444444445</v>
      </c>
      <c r="D20" s="9"/>
      <c r="E20" s="11"/>
      <c r="F20" s="12"/>
      <c r="G20" s="4">
        <v>0</v>
      </c>
      <c r="H20" s="12"/>
    </row>
    <row r="21" spans="1:8" ht="15.75" customHeight="1">
      <c r="A21" s="2"/>
      <c r="B21" s="62" t="s">
        <v>18</v>
      </c>
      <c r="C21" s="63"/>
      <c r="D21" s="63"/>
      <c r="E21" s="63"/>
      <c r="F21" s="63"/>
      <c r="G21" s="63"/>
      <c r="H21" s="64"/>
    </row>
    <row r="22" spans="1:8" ht="27" customHeight="1">
      <c r="A22" s="2">
        <v>1</v>
      </c>
      <c r="B22" s="3" t="s">
        <v>15</v>
      </c>
      <c r="C22" s="6">
        <f>(53+$C$53)/408</f>
        <v>0.18872549019607843</v>
      </c>
      <c r="D22" s="9">
        <v>2</v>
      </c>
      <c r="E22" s="11" t="s">
        <v>128</v>
      </c>
      <c r="F22" s="13" t="s">
        <v>112</v>
      </c>
      <c r="G22" s="4">
        <v>0</v>
      </c>
      <c r="H22" s="12" t="s">
        <v>91</v>
      </c>
    </row>
    <row r="23" spans="1:8" ht="27" customHeight="1">
      <c r="A23" s="2">
        <v>2</v>
      </c>
      <c r="B23" s="3" t="s">
        <v>16</v>
      </c>
      <c r="C23" s="6">
        <f>(53+$C$53)/408</f>
        <v>0.18872549019607843</v>
      </c>
      <c r="D23" s="9">
        <v>1</v>
      </c>
      <c r="E23" s="11">
        <v>41713</v>
      </c>
      <c r="F23" s="13" t="s">
        <v>112</v>
      </c>
      <c r="G23" s="4">
        <v>0</v>
      </c>
      <c r="H23" s="12" t="s">
        <v>91</v>
      </c>
    </row>
    <row r="24" spans="1:8" ht="16.5" customHeight="1">
      <c r="A24" s="2">
        <v>3</v>
      </c>
      <c r="B24" s="3" t="s">
        <v>34</v>
      </c>
      <c r="C24" s="6">
        <f>(46+$C$53)/276</f>
        <v>0.2536231884057971</v>
      </c>
      <c r="D24" s="9"/>
      <c r="E24" s="4"/>
      <c r="F24" s="13"/>
      <c r="G24" s="4">
        <v>0</v>
      </c>
      <c r="H24" s="12"/>
    </row>
    <row r="25" spans="1:8" ht="16.5" customHeight="1">
      <c r="A25" s="2">
        <v>4</v>
      </c>
      <c r="B25" s="3" t="s">
        <v>35</v>
      </c>
      <c r="C25" s="6">
        <f>(46+$C$53)/276</f>
        <v>0.2536231884057971</v>
      </c>
      <c r="D25" s="9"/>
      <c r="E25" s="4"/>
      <c r="F25" s="13"/>
      <c r="G25" s="4">
        <v>0</v>
      </c>
      <c r="H25" s="12"/>
    </row>
    <row r="26" spans="1:8" ht="30.75" customHeight="1">
      <c r="A26" s="2">
        <v>5</v>
      </c>
      <c r="B26" s="3" t="s">
        <v>36</v>
      </c>
      <c r="C26" s="6">
        <f>(48+$C$53)/300</f>
        <v>0.24</v>
      </c>
      <c r="D26" s="9">
        <v>3</v>
      </c>
      <c r="E26" s="11" t="s">
        <v>130</v>
      </c>
      <c r="F26" s="13" t="s">
        <v>129</v>
      </c>
      <c r="G26" s="4" t="s">
        <v>152</v>
      </c>
      <c r="H26" s="12" t="s">
        <v>126</v>
      </c>
    </row>
    <row r="27" spans="1:8" ht="16.5" customHeight="1">
      <c r="A27" s="2">
        <v>6</v>
      </c>
      <c r="B27" s="3" t="s">
        <v>37</v>
      </c>
      <c r="C27" s="6">
        <f>(48+$C$53)/300</f>
        <v>0.24</v>
      </c>
      <c r="D27" s="9"/>
      <c r="E27" s="11"/>
      <c r="F27" s="12"/>
      <c r="G27" s="4">
        <v>0</v>
      </c>
      <c r="H27" s="12"/>
    </row>
    <row r="28" spans="1:8" ht="16.5" customHeight="1">
      <c r="A28" s="2">
        <v>7</v>
      </c>
      <c r="B28" s="3" t="s">
        <v>32</v>
      </c>
      <c r="C28" s="6">
        <f>(53+$C$53)/312</f>
        <v>0.2467948717948718</v>
      </c>
      <c r="D28" s="9"/>
      <c r="E28" s="4"/>
      <c r="F28" s="13"/>
      <c r="G28" s="4">
        <v>0</v>
      </c>
      <c r="H28" s="12"/>
    </row>
    <row r="29" spans="1:8" ht="16.5" customHeight="1">
      <c r="A29" s="2">
        <v>8</v>
      </c>
      <c r="B29" s="3" t="s">
        <v>33</v>
      </c>
      <c r="C29" s="6">
        <f>(53+$C$53)/312</f>
        <v>0.2467948717948718</v>
      </c>
      <c r="D29" s="9"/>
      <c r="E29" s="4"/>
      <c r="F29" s="13"/>
      <c r="G29" s="4">
        <v>0</v>
      </c>
      <c r="H29" s="12"/>
    </row>
    <row r="30" spans="1:8" ht="16.5" customHeight="1">
      <c r="A30" s="2">
        <v>9</v>
      </c>
      <c r="B30" s="3" t="s">
        <v>31</v>
      </c>
      <c r="C30" s="6">
        <f>(58+$C$53)/300</f>
        <v>0.2733333333333333</v>
      </c>
      <c r="D30" s="9">
        <v>1</v>
      </c>
      <c r="E30" s="11">
        <v>41837</v>
      </c>
      <c r="F30" s="13" t="s">
        <v>118</v>
      </c>
      <c r="G30" s="4">
        <v>0</v>
      </c>
      <c r="H30" s="12" t="s">
        <v>117</v>
      </c>
    </row>
    <row r="31" spans="1:8" ht="16.5" customHeight="1">
      <c r="A31" s="2">
        <v>10</v>
      </c>
      <c r="B31" s="3" t="s">
        <v>30</v>
      </c>
      <c r="C31" s="6">
        <f>(58+$C$53)/300</f>
        <v>0.2733333333333333</v>
      </c>
      <c r="D31" s="9"/>
      <c r="E31" s="11"/>
      <c r="F31" s="12"/>
      <c r="G31" s="4">
        <v>0</v>
      </c>
      <c r="H31" s="12"/>
    </row>
    <row r="32" spans="1:8" ht="16.5" customHeight="1">
      <c r="A32" s="2">
        <v>11</v>
      </c>
      <c r="B32" s="3" t="s">
        <v>38</v>
      </c>
      <c r="C32" s="6">
        <f>(36+$C$53)/240</f>
        <v>0.25</v>
      </c>
      <c r="D32" s="9"/>
      <c r="E32" s="4"/>
      <c r="F32" s="13"/>
      <c r="G32" s="4">
        <v>0</v>
      </c>
      <c r="H32" s="12"/>
    </row>
    <row r="33" spans="1:8" ht="16.5" customHeight="1">
      <c r="A33" s="2">
        <v>12</v>
      </c>
      <c r="B33" s="3" t="s">
        <v>19</v>
      </c>
      <c r="C33" s="6">
        <f>(53+$C$53)/264</f>
        <v>0.2916666666666667</v>
      </c>
      <c r="D33" s="9"/>
      <c r="E33" s="11"/>
      <c r="F33" s="13"/>
      <c r="G33" s="4">
        <v>0</v>
      </c>
      <c r="H33" s="12"/>
    </row>
    <row r="34" spans="1:8" ht="16.5" customHeight="1">
      <c r="A34" s="2">
        <v>13</v>
      </c>
      <c r="B34" s="3" t="s">
        <v>20</v>
      </c>
      <c r="C34" s="6">
        <f>(53+$C$53)/264</f>
        <v>0.2916666666666667</v>
      </c>
      <c r="D34" s="9"/>
      <c r="E34" s="11"/>
      <c r="F34" s="13"/>
      <c r="G34" s="4">
        <v>0</v>
      </c>
      <c r="H34" s="12"/>
    </row>
    <row r="35" spans="1:8" ht="16.5" customHeight="1">
      <c r="A35" s="2">
        <v>14</v>
      </c>
      <c r="B35" s="3" t="s">
        <v>21</v>
      </c>
      <c r="C35" s="6">
        <f>(53+$C$53)/264</f>
        <v>0.2916666666666667</v>
      </c>
      <c r="D35" s="9"/>
      <c r="E35" s="11"/>
      <c r="F35" s="13"/>
      <c r="G35" s="4">
        <v>0</v>
      </c>
      <c r="H35" s="12"/>
    </row>
    <row r="36" spans="1:8" ht="16.5" customHeight="1">
      <c r="A36" s="2">
        <v>15</v>
      </c>
      <c r="B36" s="3" t="s">
        <v>22</v>
      </c>
      <c r="C36" s="6">
        <f>(53+$C$53)/264</f>
        <v>0.2916666666666667</v>
      </c>
      <c r="D36" s="9"/>
      <c r="E36" s="11"/>
      <c r="F36" s="13"/>
      <c r="G36" s="4">
        <v>0</v>
      </c>
      <c r="H36" s="12"/>
    </row>
    <row r="37" spans="1:8" ht="16.5" customHeight="1">
      <c r="A37" s="2">
        <v>16</v>
      </c>
      <c r="B37" s="3" t="s">
        <v>23</v>
      </c>
      <c r="C37" s="6">
        <f>(58+$C$53)/300</f>
        <v>0.2733333333333333</v>
      </c>
      <c r="D37" s="9"/>
      <c r="E37" s="4"/>
      <c r="F37" s="12"/>
      <c r="G37" s="4">
        <v>0</v>
      </c>
      <c r="H37" s="12"/>
    </row>
    <row r="38" spans="1:8" ht="16.5" customHeight="1">
      <c r="A38" s="2">
        <v>17</v>
      </c>
      <c r="B38" s="3" t="s">
        <v>24</v>
      </c>
      <c r="C38" s="6">
        <f>(58+$C$53)/300</f>
        <v>0.2733333333333333</v>
      </c>
      <c r="D38" s="9"/>
      <c r="E38" s="4"/>
      <c r="F38" s="12"/>
      <c r="G38" s="4">
        <v>0</v>
      </c>
      <c r="H38" s="12"/>
    </row>
    <row r="39" spans="1:8" ht="16.5" customHeight="1">
      <c r="A39" s="2">
        <v>18</v>
      </c>
      <c r="B39" s="3" t="s">
        <v>60</v>
      </c>
      <c r="C39" s="6">
        <f>(18+$C$53)/180</f>
        <v>0.23333333333333334</v>
      </c>
      <c r="D39" s="9"/>
      <c r="E39" s="4"/>
      <c r="F39" s="12"/>
      <c r="G39" s="4">
        <v>0</v>
      </c>
      <c r="H39" s="12"/>
    </row>
    <row r="40" spans="1:8" ht="16.5" customHeight="1">
      <c r="A40" s="2">
        <v>19</v>
      </c>
      <c r="B40" s="3" t="s">
        <v>61</v>
      </c>
      <c r="C40" s="6">
        <f>(18+$C$53)/180</f>
        <v>0.23333333333333334</v>
      </c>
      <c r="D40" s="9"/>
      <c r="E40" s="4"/>
      <c r="F40" s="12"/>
      <c r="G40" s="4">
        <v>0</v>
      </c>
      <c r="H40" s="12"/>
    </row>
    <row r="41" spans="1:8" ht="16.5" customHeight="1">
      <c r="A41" s="2">
        <v>20</v>
      </c>
      <c r="B41" s="3" t="s">
        <v>53</v>
      </c>
      <c r="C41" s="6">
        <f>(24+$C$53)/300</f>
        <v>0.16</v>
      </c>
      <c r="D41" s="9"/>
      <c r="E41" s="11"/>
      <c r="F41" s="12"/>
      <c r="G41" s="4">
        <v>0</v>
      </c>
      <c r="H41" s="12"/>
    </row>
    <row r="42" spans="1:8" ht="16.5" customHeight="1">
      <c r="A42" s="2">
        <v>21</v>
      </c>
      <c r="B42" s="3" t="s">
        <v>52</v>
      </c>
      <c r="C42" s="6">
        <f>(24+$C$53)/300</f>
        <v>0.16</v>
      </c>
      <c r="D42" s="9"/>
      <c r="E42" s="4"/>
      <c r="F42" s="12"/>
      <c r="G42" s="4">
        <v>0</v>
      </c>
      <c r="H42" s="12"/>
    </row>
    <row r="43" spans="1:8" ht="16.5" customHeight="1">
      <c r="A43" s="2">
        <v>22</v>
      </c>
      <c r="B43" s="3" t="s">
        <v>43</v>
      </c>
      <c r="C43" s="6">
        <f>(40+$C$53)/300</f>
        <v>0.21333333333333335</v>
      </c>
      <c r="D43" s="9"/>
      <c r="E43" s="4"/>
      <c r="F43" s="12"/>
      <c r="G43" s="4">
        <v>0</v>
      </c>
      <c r="H43" s="12"/>
    </row>
    <row r="44" spans="1:8" ht="16.5" customHeight="1">
      <c r="A44" s="2">
        <v>23</v>
      </c>
      <c r="B44" s="3" t="s">
        <v>44</v>
      </c>
      <c r="C44" s="6">
        <f>(40+$C$53)/300</f>
        <v>0.21333333333333335</v>
      </c>
      <c r="D44" s="9"/>
      <c r="E44" s="4"/>
      <c r="F44" s="12"/>
      <c r="G44" s="4">
        <v>0</v>
      </c>
      <c r="H44" s="12"/>
    </row>
    <row r="45" spans="1:8" ht="16.5" customHeight="1">
      <c r="A45" s="2">
        <v>24</v>
      </c>
      <c r="B45" s="3" t="s">
        <v>46</v>
      </c>
      <c r="C45" s="6">
        <f>(24+$C$53)/300</f>
        <v>0.16</v>
      </c>
      <c r="D45" s="9"/>
      <c r="E45" s="4"/>
      <c r="F45" s="12"/>
      <c r="G45" s="4">
        <v>0</v>
      </c>
      <c r="H45" s="12"/>
    </row>
    <row r="46" spans="1:8" ht="16.5" customHeight="1">
      <c r="A46" s="2">
        <v>25</v>
      </c>
      <c r="B46" s="3" t="s">
        <v>47</v>
      </c>
      <c r="C46" s="6">
        <f>(24+$C$53)/300</f>
        <v>0.16</v>
      </c>
      <c r="D46" s="9"/>
      <c r="E46" s="4"/>
      <c r="F46" s="12"/>
      <c r="G46" s="4">
        <v>0</v>
      </c>
      <c r="H46" s="12"/>
    </row>
    <row r="47" spans="1:8" ht="16.5" customHeight="1">
      <c r="A47" s="2">
        <v>26</v>
      </c>
      <c r="B47" s="15" t="s">
        <v>120</v>
      </c>
      <c r="C47" s="6">
        <f>(-18+$C$53)/181</f>
        <v>0.03314917127071823</v>
      </c>
      <c r="D47" s="9"/>
      <c r="E47" s="4"/>
      <c r="F47" s="12"/>
      <c r="G47" s="4">
        <v>0</v>
      </c>
      <c r="H47" s="12"/>
    </row>
    <row r="48" spans="1:8" ht="16.5" customHeight="1">
      <c r="A48" s="2">
        <v>27</v>
      </c>
      <c r="B48" s="3" t="s">
        <v>121</v>
      </c>
      <c r="C48" s="6">
        <f>(-20+$C$53)/181</f>
        <v>0.022099447513812154</v>
      </c>
      <c r="D48" s="9"/>
      <c r="E48" s="4"/>
      <c r="F48" s="12"/>
      <c r="G48" s="4">
        <v>0</v>
      </c>
      <c r="H48" s="12"/>
    </row>
    <row r="49" spans="1:8" ht="16.5" customHeight="1">
      <c r="A49" s="2">
        <v>28</v>
      </c>
      <c r="B49" s="3" t="s">
        <v>122</v>
      </c>
      <c r="C49" s="6">
        <f>(-12+$C$53)/181</f>
        <v>0.06629834254143646</v>
      </c>
      <c r="D49" s="9"/>
      <c r="E49" s="4"/>
      <c r="F49" s="12"/>
      <c r="G49" s="4">
        <v>0</v>
      </c>
      <c r="H49" s="12"/>
    </row>
    <row r="50" spans="1:8" ht="16.5" customHeight="1">
      <c r="A50" s="2">
        <v>29</v>
      </c>
      <c r="B50" s="3" t="s">
        <v>123</v>
      </c>
      <c r="C50" s="6">
        <f>(-18+$C$53)/181</f>
        <v>0.03314917127071823</v>
      </c>
      <c r="D50" s="9"/>
      <c r="E50" s="4"/>
      <c r="F50" s="12"/>
      <c r="G50" s="4">
        <v>0</v>
      </c>
      <c r="H50" s="12"/>
    </row>
    <row r="51" spans="1:8" ht="16.5" customHeight="1">
      <c r="A51" s="2">
        <v>30</v>
      </c>
      <c r="B51" s="3" t="s">
        <v>29</v>
      </c>
      <c r="C51" s="6">
        <f>(36+$C$53)/300</f>
        <v>0.2</v>
      </c>
      <c r="D51" s="9"/>
      <c r="E51" s="4"/>
      <c r="F51" s="12"/>
      <c r="G51" s="4">
        <v>0</v>
      </c>
      <c r="H51" s="12"/>
    </row>
    <row r="52" spans="1:8" ht="16.5" customHeight="1">
      <c r="A52" s="2">
        <v>31</v>
      </c>
      <c r="B52" s="3" t="s">
        <v>58</v>
      </c>
      <c r="C52" s="6">
        <f>(29+$C$53)/180</f>
        <v>0.29444444444444445</v>
      </c>
      <c r="D52" s="9"/>
      <c r="E52" s="11"/>
      <c r="F52" s="12"/>
      <c r="G52" s="4">
        <v>0</v>
      </c>
      <c r="H52" s="12"/>
    </row>
    <row r="53" spans="3:8" ht="15">
      <c r="C53" s="7">
        <v>24</v>
      </c>
      <c r="D53" s="7"/>
      <c r="E53" s="5"/>
      <c r="F53" s="5"/>
      <c r="G53" s="5"/>
      <c r="H53" s="5"/>
    </row>
    <row r="54" spans="1:8" ht="14.25" customHeight="1">
      <c r="A54" s="1" t="s">
        <v>40</v>
      </c>
      <c r="B54" s="65" t="s">
        <v>115</v>
      </c>
      <c r="C54" s="65"/>
      <c r="D54" s="65"/>
      <c r="E54" s="65"/>
      <c r="F54" s="65"/>
      <c r="G54" s="65"/>
      <c r="H54" s="65"/>
    </row>
  </sheetData>
  <sheetProtection/>
  <mergeCells count="6">
    <mergeCell ref="B21:H21"/>
    <mergeCell ref="B54:H54"/>
    <mergeCell ref="A1:H1"/>
    <mergeCell ref="A2:H2"/>
    <mergeCell ref="A3:H3"/>
    <mergeCell ref="B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85" zoomScaleSheetLayoutView="85" zoomScalePageLayoutView="0" workbookViewId="0" topLeftCell="A1">
      <selection activeCell="F12" sqref="F12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11.57421875" style="1" customWidth="1"/>
    <col min="4" max="4" width="14.7109375" style="1" customWidth="1"/>
    <col min="5" max="5" width="12.7109375" style="1" customWidth="1"/>
    <col min="6" max="6" width="58.00390625" style="1" customWidth="1"/>
    <col min="7" max="7" width="12.57421875" style="1" customWidth="1"/>
    <col min="8" max="8" width="49.8515625" style="1" customWidth="1"/>
    <col min="9" max="16384" width="9.140625" style="1" customWidth="1"/>
  </cols>
  <sheetData>
    <row r="1" spans="1:8" ht="21" customHeight="1">
      <c r="A1" s="66" t="s">
        <v>111</v>
      </c>
      <c r="B1" s="66"/>
      <c r="C1" s="66"/>
      <c r="D1" s="66"/>
      <c r="E1" s="66"/>
      <c r="F1" s="66"/>
      <c r="G1" s="66"/>
      <c r="H1" s="66"/>
    </row>
    <row r="2" spans="1:8" ht="21" customHeight="1">
      <c r="A2" s="67" t="s">
        <v>48</v>
      </c>
      <c r="B2" s="67"/>
      <c r="C2" s="67"/>
      <c r="D2" s="67"/>
      <c r="E2" s="67"/>
      <c r="F2" s="67"/>
      <c r="G2" s="67"/>
      <c r="H2" s="67"/>
    </row>
    <row r="3" spans="1:8" ht="21" customHeight="1">
      <c r="A3" s="67" t="s">
        <v>49</v>
      </c>
      <c r="B3" s="67"/>
      <c r="C3" s="67"/>
      <c r="D3" s="67"/>
      <c r="E3" s="67"/>
      <c r="F3" s="67"/>
      <c r="G3" s="67"/>
      <c r="H3" s="67"/>
    </row>
    <row r="4" spans="1:8" ht="84.75" customHeight="1">
      <c r="A4" s="2" t="s">
        <v>0</v>
      </c>
      <c r="B4" s="2" t="s">
        <v>1</v>
      </c>
      <c r="C4" s="2" t="s">
        <v>2</v>
      </c>
      <c r="D4" s="2" t="s">
        <v>56</v>
      </c>
      <c r="E4" s="2" t="s">
        <v>55</v>
      </c>
      <c r="F4" s="2" t="s">
        <v>3</v>
      </c>
      <c r="G4" s="2" t="s">
        <v>39</v>
      </c>
      <c r="H4" s="2" t="s">
        <v>4</v>
      </c>
    </row>
    <row r="5" spans="1:8" ht="15.75" customHeight="1">
      <c r="A5" s="2"/>
      <c r="B5" s="62" t="s">
        <v>17</v>
      </c>
      <c r="C5" s="63"/>
      <c r="D5" s="63"/>
      <c r="E5" s="63"/>
      <c r="F5" s="63"/>
      <c r="G5" s="63"/>
      <c r="H5" s="64"/>
    </row>
    <row r="6" spans="1:8" ht="15.75" customHeight="1">
      <c r="A6" s="2">
        <v>1</v>
      </c>
      <c r="B6" s="3" t="s">
        <v>5</v>
      </c>
      <c r="C6" s="6">
        <f>(53+$C$53)/60</f>
        <v>1.0833333333333333</v>
      </c>
      <c r="D6" s="9"/>
      <c r="E6" s="11"/>
      <c r="F6" s="12"/>
      <c r="G6" s="4">
        <v>0</v>
      </c>
      <c r="H6" s="12"/>
    </row>
    <row r="7" spans="1:8" ht="28.5" customHeight="1">
      <c r="A7" s="2">
        <v>2</v>
      </c>
      <c r="B7" s="3" t="s">
        <v>51</v>
      </c>
      <c r="C7" s="4" t="s">
        <v>54</v>
      </c>
      <c r="D7" s="10">
        <v>1</v>
      </c>
      <c r="E7" s="11">
        <v>41393</v>
      </c>
      <c r="F7" s="12" t="s">
        <v>98</v>
      </c>
      <c r="G7" s="4">
        <v>1120</v>
      </c>
      <c r="H7" s="12" t="s">
        <v>100</v>
      </c>
    </row>
    <row r="8" spans="1:8" ht="28.5" customHeight="1">
      <c r="A8" s="2">
        <v>3</v>
      </c>
      <c r="B8" s="3" t="s">
        <v>6</v>
      </c>
      <c r="C8" s="6">
        <f>(46+$C$53)/276</f>
        <v>0.21014492753623187</v>
      </c>
      <c r="D8" s="9">
        <v>2</v>
      </c>
      <c r="E8" s="11" t="s">
        <v>105</v>
      </c>
      <c r="F8" s="12" t="s">
        <v>106</v>
      </c>
      <c r="G8" s="4">
        <v>200</v>
      </c>
      <c r="H8" s="12" t="s">
        <v>107</v>
      </c>
    </row>
    <row r="9" spans="1:8" ht="15.75" customHeight="1">
      <c r="A9" s="2">
        <v>4</v>
      </c>
      <c r="B9" s="3" t="s">
        <v>7</v>
      </c>
      <c r="C9" s="6">
        <f>(48+$C$53)/288</f>
        <v>0.20833333333333334</v>
      </c>
      <c r="D9" s="9"/>
      <c r="E9" s="4"/>
      <c r="F9" s="12"/>
      <c r="G9" s="4">
        <v>0</v>
      </c>
      <c r="H9" s="12"/>
    </row>
    <row r="10" spans="1:8" ht="15.75" customHeight="1">
      <c r="A10" s="2">
        <v>5</v>
      </c>
      <c r="B10" s="3" t="s">
        <v>8</v>
      </c>
      <c r="C10" s="6">
        <f>(53+$C$53)/312</f>
        <v>0.20833333333333334</v>
      </c>
      <c r="D10" s="9"/>
      <c r="E10" s="11"/>
      <c r="F10" s="12"/>
      <c r="G10" s="4">
        <v>0</v>
      </c>
      <c r="H10" s="12"/>
    </row>
    <row r="11" spans="1:8" ht="58.5" customHeight="1">
      <c r="A11" s="2">
        <v>6</v>
      </c>
      <c r="B11" s="3" t="s">
        <v>9</v>
      </c>
      <c r="C11" s="6">
        <f>(56+$C$53)/420</f>
        <v>0.1619047619047619</v>
      </c>
      <c r="D11" s="9">
        <v>4</v>
      </c>
      <c r="E11" s="11" t="s">
        <v>93</v>
      </c>
      <c r="F11" s="12" t="s">
        <v>94</v>
      </c>
      <c r="G11" s="4">
        <v>4424</v>
      </c>
      <c r="H11" s="12" t="s">
        <v>95</v>
      </c>
    </row>
    <row r="12" spans="1:8" ht="15.75" customHeight="1">
      <c r="A12" s="2">
        <v>7</v>
      </c>
      <c r="B12" s="3" t="s">
        <v>10</v>
      </c>
      <c r="C12" s="6">
        <f>(56+$C$53)/420</f>
        <v>0.1619047619047619</v>
      </c>
      <c r="D12" s="9"/>
      <c r="E12" s="11"/>
      <c r="F12" s="12"/>
      <c r="G12" s="4">
        <v>0</v>
      </c>
      <c r="H12" s="12"/>
    </row>
    <row r="13" spans="1:8" ht="15.75" customHeight="1">
      <c r="A13" s="2">
        <v>8</v>
      </c>
      <c r="B13" s="3" t="s">
        <v>50</v>
      </c>
      <c r="C13" s="8">
        <f>(24+$C$53)/300</f>
        <v>0.12</v>
      </c>
      <c r="D13" s="9"/>
      <c r="E13" s="4"/>
      <c r="F13" s="12"/>
      <c r="G13" s="4">
        <v>0</v>
      </c>
      <c r="H13" s="12"/>
    </row>
    <row r="14" spans="1:8" ht="15.75" customHeight="1">
      <c r="A14" s="2">
        <v>9</v>
      </c>
      <c r="B14" s="3" t="s">
        <v>57</v>
      </c>
      <c r="C14" s="6">
        <f>(18+$C$53)/180</f>
        <v>0.16666666666666666</v>
      </c>
      <c r="D14" s="9"/>
      <c r="E14" s="4"/>
      <c r="F14" s="12"/>
      <c r="G14" s="4">
        <v>0</v>
      </c>
      <c r="H14" s="12"/>
    </row>
    <row r="15" spans="1:8" ht="15.75" customHeight="1">
      <c r="A15" s="2">
        <v>10</v>
      </c>
      <c r="B15" s="3" t="s">
        <v>11</v>
      </c>
      <c r="C15" s="6">
        <f>(36+$C$53)/240</f>
        <v>0.2</v>
      </c>
      <c r="D15" s="9">
        <v>1</v>
      </c>
      <c r="E15" s="11">
        <v>41612</v>
      </c>
      <c r="F15" s="12" t="s">
        <v>108</v>
      </c>
      <c r="G15" s="4">
        <v>120</v>
      </c>
      <c r="H15" s="12" t="s">
        <v>109</v>
      </c>
    </row>
    <row r="16" spans="1:8" ht="15.75" customHeight="1">
      <c r="A16" s="2">
        <v>11</v>
      </c>
      <c r="B16" s="3" t="s">
        <v>12</v>
      </c>
      <c r="C16" s="6">
        <f>(45+$C$53)/300</f>
        <v>0.19</v>
      </c>
      <c r="D16" s="9"/>
      <c r="E16" s="4"/>
      <c r="F16" s="12"/>
      <c r="G16" s="4">
        <v>0</v>
      </c>
      <c r="H16" s="12"/>
    </row>
    <row r="17" spans="1:8" ht="15.75" customHeight="1">
      <c r="A17" s="2">
        <v>12</v>
      </c>
      <c r="B17" s="3" t="s">
        <v>45</v>
      </c>
      <c r="C17" s="6">
        <f>(24+$C$53)/300</f>
        <v>0.12</v>
      </c>
      <c r="D17" s="9"/>
      <c r="E17" s="11"/>
      <c r="F17" s="12"/>
      <c r="G17" s="4">
        <v>0</v>
      </c>
      <c r="H17" s="12"/>
    </row>
    <row r="18" spans="1:8" ht="15.75" customHeight="1">
      <c r="A18" s="2">
        <v>13</v>
      </c>
      <c r="B18" s="3" t="s">
        <v>13</v>
      </c>
      <c r="C18" s="6">
        <f>(39+$C$53)/150</f>
        <v>0.34</v>
      </c>
      <c r="D18" s="9"/>
      <c r="E18" s="11"/>
      <c r="F18" s="12"/>
      <c r="G18" s="4">
        <v>0</v>
      </c>
      <c r="H18" s="12"/>
    </row>
    <row r="19" spans="1:8" ht="15.75" customHeight="1">
      <c r="A19" s="2">
        <v>14</v>
      </c>
      <c r="B19" s="3" t="s">
        <v>14</v>
      </c>
      <c r="C19" s="6">
        <f>(40+$C$53)/300</f>
        <v>0.17333333333333334</v>
      </c>
      <c r="D19" s="9"/>
      <c r="E19" s="11"/>
      <c r="F19" s="12"/>
      <c r="G19" s="4">
        <v>0</v>
      </c>
      <c r="H19" s="12"/>
    </row>
    <row r="20" spans="1:8" ht="15.75" customHeight="1">
      <c r="A20" s="2">
        <v>15</v>
      </c>
      <c r="B20" s="3" t="s">
        <v>41</v>
      </c>
      <c r="C20" s="6">
        <f>(29+$C$53)/180</f>
        <v>0.22777777777777777</v>
      </c>
      <c r="D20" s="9"/>
      <c r="E20" s="11"/>
      <c r="F20" s="12"/>
      <c r="G20" s="4">
        <v>0</v>
      </c>
      <c r="H20" s="12"/>
    </row>
    <row r="21" spans="1:8" ht="15.75" customHeight="1">
      <c r="A21" s="2"/>
      <c r="B21" s="62" t="s">
        <v>18</v>
      </c>
      <c r="C21" s="63"/>
      <c r="D21" s="63"/>
      <c r="E21" s="63"/>
      <c r="F21" s="63"/>
      <c r="G21" s="63"/>
      <c r="H21" s="64"/>
    </row>
    <row r="22" spans="1:8" ht="28.5" customHeight="1">
      <c r="A22" s="2">
        <v>1</v>
      </c>
      <c r="B22" s="3" t="s">
        <v>15</v>
      </c>
      <c r="C22" s="6">
        <f>(53+$C$53)/408</f>
        <v>0.15931372549019607</v>
      </c>
      <c r="D22" s="9">
        <v>1</v>
      </c>
      <c r="E22" s="11">
        <v>41392</v>
      </c>
      <c r="F22" s="13" t="s">
        <v>90</v>
      </c>
      <c r="G22" s="4">
        <v>0</v>
      </c>
      <c r="H22" s="12" t="s">
        <v>92</v>
      </c>
    </row>
    <row r="23" spans="1:8" ht="28.5" customHeight="1">
      <c r="A23" s="2">
        <v>2</v>
      </c>
      <c r="B23" s="3" t="s">
        <v>16</v>
      </c>
      <c r="C23" s="6">
        <f>(53+$C$53)/408</f>
        <v>0.15931372549019607</v>
      </c>
      <c r="D23" s="9">
        <v>2</v>
      </c>
      <c r="E23" s="11" t="s">
        <v>101</v>
      </c>
      <c r="F23" s="13" t="s">
        <v>102</v>
      </c>
      <c r="G23" s="4">
        <v>0</v>
      </c>
      <c r="H23" s="12" t="s">
        <v>91</v>
      </c>
    </row>
    <row r="24" spans="1:8" ht="16.5" customHeight="1">
      <c r="A24" s="2">
        <v>3</v>
      </c>
      <c r="B24" s="3" t="s">
        <v>34</v>
      </c>
      <c r="C24" s="6">
        <f>(46+$C$53)/276</f>
        <v>0.21014492753623187</v>
      </c>
      <c r="D24" s="9"/>
      <c r="E24" s="4"/>
      <c r="F24" s="13"/>
      <c r="G24" s="4">
        <v>0</v>
      </c>
      <c r="H24" s="12"/>
    </row>
    <row r="25" spans="1:8" ht="16.5" customHeight="1">
      <c r="A25" s="2">
        <v>4</v>
      </c>
      <c r="B25" s="3" t="s">
        <v>35</v>
      </c>
      <c r="C25" s="6">
        <f>(46+$C$53)/276</f>
        <v>0.21014492753623187</v>
      </c>
      <c r="D25" s="9"/>
      <c r="E25" s="4"/>
      <c r="F25" s="13"/>
      <c r="G25" s="4">
        <v>0</v>
      </c>
      <c r="H25" s="12"/>
    </row>
    <row r="26" spans="1:8" ht="16.5" customHeight="1">
      <c r="A26" s="2">
        <v>5</v>
      </c>
      <c r="B26" s="3" t="s">
        <v>36</v>
      </c>
      <c r="C26" s="6">
        <f>(48+$C$53)/300</f>
        <v>0.2</v>
      </c>
      <c r="D26" s="9"/>
      <c r="E26" s="4"/>
      <c r="F26" s="13"/>
      <c r="G26" s="4">
        <v>0</v>
      </c>
      <c r="H26" s="12"/>
    </row>
    <row r="27" spans="1:8" ht="16.5" customHeight="1">
      <c r="A27" s="2">
        <v>6</v>
      </c>
      <c r="B27" s="3" t="s">
        <v>37</v>
      </c>
      <c r="C27" s="6">
        <f>(48+$C$53)/300</f>
        <v>0.2</v>
      </c>
      <c r="D27" s="9">
        <v>1</v>
      </c>
      <c r="E27" s="11">
        <v>41425</v>
      </c>
      <c r="F27" s="12" t="s">
        <v>96</v>
      </c>
      <c r="G27" s="4">
        <v>250</v>
      </c>
      <c r="H27" s="12" t="s">
        <v>97</v>
      </c>
    </row>
    <row r="28" spans="1:8" ht="16.5" customHeight="1">
      <c r="A28" s="2">
        <v>7</v>
      </c>
      <c r="B28" s="3" t="s">
        <v>32</v>
      </c>
      <c r="C28" s="6">
        <f>(53+$C$53)/312</f>
        <v>0.20833333333333334</v>
      </c>
      <c r="D28" s="9"/>
      <c r="E28" s="4"/>
      <c r="F28" s="13"/>
      <c r="G28" s="4">
        <v>0</v>
      </c>
      <c r="H28" s="12"/>
    </row>
    <row r="29" spans="1:8" ht="16.5" customHeight="1">
      <c r="A29" s="2">
        <v>8</v>
      </c>
      <c r="B29" s="3" t="s">
        <v>33</v>
      </c>
      <c r="C29" s="6">
        <f>(53+$C$53)/312</f>
        <v>0.20833333333333334</v>
      </c>
      <c r="D29" s="9"/>
      <c r="E29" s="4"/>
      <c r="F29" s="13"/>
      <c r="G29" s="4">
        <v>0</v>
      </c>
      <c r="H29" s="12"/>
    </row>
    <row r="30" spans="1:8" ht="16.5" customHeight="1">
      <c r="A30" s="2">
        <v>9</v>
      </c>
      <c r="B30" s="3" t="s">
        <v>31</v>
      </c>
      <c r="C30" s="6">
        <f>(58+$C$53)/300</f>
        <v>0.23333333333333334</v>
      </c>
      <c r="D30" s="9"/>
      <c r="E30" s="4"/>
      <c r="F30" s="13"/>
      <c r="G30" s="4">
        <v>0</v>
      </c>
      <c r="H30" s="12"/>
    </row>
    <row r="31" spans="1:8" ht="16.5" customHeight="1">
      <c r="A31" s="2">
        <v>10</v>
      </c>
      <c r="B31" s="3" t="s">
        <v>30</v>
      </c>
      <c r="C31" s="6">
        <f>(58+$C$53)/300</f>
        <v>0.23333333333333334</v>
      </c>
      <c r="D31" s="9">
        <v>1</v>
      </c>
      <c r="E31" s="11">
        <v>41615</v>
      </c>
      <c r="F31" s="12" t="s">
        <v>110</v>
      </c>
      <c r="G31" s="4">
        <v>0</v>
      </c>
      <c r="H31" s="12" t="s">
        <v>62</v>
      </c>
    </row>
    <row r="32" spans="1:8" ht="16.5" customHeight="1">
      <c r="A32" s="2">
        <v>11</v>
      </c>
      <c r="B32" s="3" t="s">
        <v>38</v>
      </c>
      <c r="C32" s="6">
        <f>(36+$C$53)/240</f>
        <v>0.2</v>
      </c>
      <c r="D32" s="9"/>
      <c r="E32" s="4"/>
      <c r="F32" s="13"/>
      <c r="G32" s="4">
        <v>0</v>
      </c>
      <c r="H32" s="12"/>
    </row>
    <row r="33" spans="1:8" ht="16.5" customHeight="1">
      <c r="A33" s="2">
        <v>12</v>
      </c>
      <c r="B33" s="3" t="s">
        <v>19</v>
      </c>
      <c r="C33" s="6">
        <f>(53+$C$53)/264</f>
        <v>0.24621212121212122</v>
      </c>
      <c r="D33" s="9">
        <v>1</v>
      </c>
      <c r="E33" s="11">
        <v>41553</v>
      </c>
      <c r="F33" s="13" t="s">
        <v>103</v>
      </c>
      <c r="G33" s="4">
        <v>800</v>
      </c>
      <c r="H33" s="12" t="s">
        <v>104</v>
      </c>
    </row>
    <row r="34" spans="1:8" ht="16.5" customHeight="1">
      <c r="A34" s="2">
        <v>13</v>
      </c>
      <c r="B34" s="3" t="s">
        <v>20</v>
      </c>
      <c r="C34" s="6">
        <f>(53+$C$53)/264</f>
        <v>0.24621212121212122</v>
      </c>
      <c r="D34" s="9">
        <v>1</v>
      </c>
      <c r="E34" s="11">
        <v>41553</v>
      </c>
      <c r="F34" s="13" t="s">
        <v>103</v>
      </c>
      <c r="G34" s="4">
        <v>100</v>
      </c>
      <c r="H34" s="12" t="s">
        <v>104</v>
      </c>
    </row>
    <row r="35" spans="1:8" ht="16.5" customHeight="1">
      <c r="A35" s="2">
        <v>14</v>
      </c>
      <c r="B35" s="3" t="s">
        <v>21</v>
      </c>
      <c r="C35" s="6">
        <f>(53+$C$53)/264</f>
        <v>0.24621212121212122</v>
      </c>
      <c r="D35" s="9">
        <v>1</v>
      </c>
      <c r="E35" s="11">
        <v>41553</v>
      </c>
      <c r="F35" s="13" t="s">
        <v>103</v>
      </c>
      <c r="G35" s="4">
        <v>700</v>
      </c>
      <c r="H35" s="12" t="s">
        <v>104</v>
      </c>
    </row>
    <row r="36" spans="1:8" ht="16.5" customHeight="1">
      <c r="A36" s="2">
        <v>15</v>
      </c>
      <c r="B36" s="3" t="s">
        <v>22</v>
      </c>
      <c r="C36" s="6">
        <f>(53+$C$53)/264</f>
        <v>0.24621212121212122</v>
      </c>
      <c r="D36" s="9">
        <v>1</v>
      </c>
      <c r="E36" s="11">
        <v>41553</v>
      </c>
      <c r="F36" s="13" t="s">
        <v>103</v>
      </c>
      <c r="G36" s="4">
        <v>150</v>
      </c>
      <c r="H36" s="12" t="s">
        <v>104</v>
      </c>
    </row>
    <row r="37" spans="1:8" ht="16.5" customHeight="1">
      <c r="A37" s="2">
        <v>16</v>
      </c>
      <c r="B37" s="3" t="s">
        <v>23</v>
      </c>
      <c r="C37" s="6">
        <f>(58+$C$53)/300</f>
        <v>0.23333333333333334</v>
      </c>
      <c r="D37" s="9"/>
      <c r="E37" s="4"/>
      <c r="F37" s="12"/>
      <c r="G37" s="4">
        <v>0</v>
      </c>
      <c r="H37" s="12"/>
    </row>
    <row r="38" spans="1:8" ht="16.5" customHeight="1">
      <c r="A38" s="2">
        <v>17</v>
      </c>
      <c r="B38" s="3" t="s">
        <v>24</v>
      </c>
      <c r="C38" s="6">
        <f>(58+$C$53)/300</f>
        <v>0.23333333333333334</v>
      </c>
      <c r="D38" s="9"/>
      <c r="E38" s="4"/>
      <c r="F38" s="12"/>
      <c r="G38" s="4">
        <v>0</v>
      </c>
      <c r="H38" s="12"/>
    </row>
    <row r="39" spans="1:8" ht="16.5" customHeight="1">
      <c r="A39" s="2">
        <v>18</v>
      </c>
      <c r="B39" s="3" t="s">
        <v>60</v>
      </c>
      <c r="C39" s="6">
        <f>(18+$C$53)/180</f>
        <v>0.16666666666666666</v>
      </c>
      <c r="D39" s="9"/>
      <c r="E39" s="4"/>
      <c r="F39" s="12"/>
      <c r="G39" s="4"/>
      <c r="H39" s="12"/>
    </row>
    <row r="40" spans="1:8" ht="16.5" customHeight="1">
      <c r="A40" s="2">
        <v>19</v>
      </c>
      <c r="B40" s="3" t="s">
        <v>61</v>
      </c>
      <c r="C40" s="6">
        <f>(18+$C$53)/180</f>
        <v>0.16666666666666666</v>
      </c>
      <c r="D40" s="9"/>
      <c r="E40" s="4"/>
      <c r="F40" s="12"/>
      <c r="G40" s="4"/>
      <c r="H40" s="12"/>
    </row>
    <row r="41" spans="1:8" ht="27" customHeight="1">
      <c r="A41" s="2">
        <v>20</v>
      </c>
      <c r="B41" s="3" t="s">
        <v>53</v>
      </c>
      <c r="C41" s="8">
        <f>(24+$C$53)/300</f>
        <v>0.12</v>
      </c>
      <c r="D41" s="9">
        <v>1</v>
      </c>
      <c r="E41" s="11">
        <v>41278</v>
      </c>
      <c r="F41" s="12" t="s">
        <v>59</v>
      </c>
      <c r="G41" s="4">
        <v>2600</v>
      </c>
      <c r="H41" s="12" t="s">
        <v>62</v>
      </c>
    </row>
    <row r="42" spans="1:8" ht="16.5" customHeight="1">
      <c r="A42" s="2">
        <v>21</v>
      </c>
      <c r="B42" s="3" t="s">
        <v>52</v>
      </c>
      <c r="C42" s="8">
        <f>(24+$C$53)/300</f>
        <v>0.12</v>
      </c>
      <c r="D42" s="9"/>
      <c r="E42" s="4"/>
      <c r="F42" s="12"/>
      <c r="G42" s="4">
        <v>0</v>
      </c>
      <c r="H42" s="12"/>
    </row>
    <row r="43" spans="1:8" ht="16.5" customHeight="1">
      <c r="A43" s="2">
        <v>22</v>
      </c>
      <c r="B43" s="3" t="s">
        <v>43</v>
      </c>
      <c r="C43" s="6">
        <f>(40+$C$53)/300</f>
        <v>0.17333333333333334</v>
      </c>
      <c r="D43" s="9"/>
      <c r="E43" s="4"/>
      <c r="F43" s="12"/>
      <c r="G43" s="4">
        <v>0</v>
      </c>
      <c r="H43" s="12"/>
    </row>
    <row r="44" spans="1:8" ht="16.5" customHeight="1">
      <c r="A44" s="2">
        <v>23</v>
      </c>
      <c r="B44" s="3" t="s">
        <v>44</v>
      </c>
      <c r="C44" s="6">
        <f>(40+$C$53)/300</f>
        <v>0.17333333333333334</v>
      </c>
      <c r="D44" s="9"/>
      <c r="E44" s="4"/>
      <c r="F44" s="12"/>
      <c r="G44" s="4">
        <v>0</v>
      </c>
      <c r="H44" s="12"/>
    </row>
    <row r="45" spans="1:8" ht="16.5" customHeight="1">
      <c r="A45" s="2">
        <v>24</v>
      </c>
      <c r="B45" s="3" t="s">
        <v>46</v>
      </c>
      <c r="C45" s="6">
        <f>(24+$C$53)/300</f>
        <v>0.12</v>
      </c>
      <c r="D45" s="9"/>
      <c r="E45" s="4"/>
      <c r="F45" s="12"/>
      <c r="G45" s="4">
        <v>0</v>
      </c>
      <c r="H45" s="12"/>
    </row>
    <row r="46" spans="1:8" ht="16.5" customHeight="1">
      <c r="A46" s="2">
        <v>25</v>
      </c>
      <c r="B46" s="3" t="s">
        <v>47</v>
      </c>
      <c r="C46" s="6">
        <f>(24+$C$53)/300</f>
        <v>0.12</v>
      </c>
      <c r="D46" s="9"/>
      <c r="E46" s="4"/>
      <c r="F46" s="12"/>
      <c r="G46" s="4">
        <v>0</v>
      </c>
      <c r="H46" s="12"/>
    </row>
    <row r="47" spans="1:8" ht="16.5" customHeight="1">
      <c r="A47" s="2">
        <v>26</v>
      </c>
      <c r="B47" s="3" t="s">
        <v>25</v>
      </c>
      <c r="C47" s="6">
        <f>(54+$C$53)/300</f>
        <v>0.22</v>
      </c>
      <c r="D47" s="9"/>
      <c r="E47" s="4"/>
      <c r="F47" s="12"/>
      <c r="G47" s="4">
        <v>0</v>
      </c>
      <c r="H47" s="12"/>
    </row>
    <row r="48" spans="1:8" ht="16.5" customHeight="1">
      <c r="A48" s="2">
        <v>27</v>
      </c>
      <c r="B48" s="3" t="s">
        <v>26</v>
      </c>
      <c r="C48" s="6">
        <f>(54+$C$53)/300</f>
        <v>0.22</v>
      </c>
      <c r="D48" s="9"/>
      <c r="E48" s="4"/>
      <c r="F48" s="12"/>
      <c r="G48" s="4">
        <v>0</v>
      </c>
      <c r="H48" s="12"/>
    </row>
    <row r="49" spans="1:8" ht="16.5" customHeight="1">
      <c r="A49" s="2">
        <v>28</v>
      </c>
      <c r="B49" s="3" t="s">
        <v>27</v>
      </c>
      <c r="C49" s="6">
        <f>(54+$C$53)/300</f>
        <v>0.22</v>
      </c>
      <c r="D49" s="9"/>
      <c r="E49" s="4"/>
      <c r="F49" s="12"/>
      <c r="G49" s="4">
        <v>0</v>
      </c>
      <c r="H49" s="12"/>
    </row>
    <row r="50" spans="1:8" ht="16.5" customHeight="1">
      <c r="A50" s="2">
        <v>29</v>
      </c>
      <c r="B50" s="3" t="s">
        <v>28</v>
      </c>
      <c r="C50" s="6">
        <f>(54+$C$53)/300</f>
        <v>0.22</v>
      </c>
      <c r="D50" s="9"/>
      <c r="E50" s="4"/>
      <c r="F50" s="12"/>
      <c r="G50" s="4">
        <v>0</v>
      </c>
      <c r="H50" s="12"/>
    </row>
    <row r="51" spans="1:8" ht="16.5" customHeight="1">
      <c r="A51" s="2">
        <v>30</v>
      </c>
      <c r="B51" s="3" t="s">
        <v>29</v>
      </c>
      <c r="C51" s="6">
        <f>(36+$C$53)/300</f>
        <v>0.16</v>
      </c>
      <c r="D51" s="9"/>
      <c r="E51" s="4"/>
      <c r="F51" s="12"/>
      <c r="G51" s="4">
        <v>0</v>
      </c>
      <c r="H51" s="12"/>
    </row>
    <row r="52" spans="1:8" ht="28.5" customHeight="1">
      <c r="A52" s="2">
        <v>31</v>
      </c>
      <c r="B52" s="3" t="s">
        <v>58</v>
      </c>
      <c r="C52" s="6">
        <f>(29+$C$53)/180</f>
        <v>0.22777777777777777</v>
      </c>
      <c r="D52" s="9">
        <v>1</v>
      </c>
      <c r="E52" s="11">
        <v>41393</v>
      </c>
      <c r="F52" s="12" t="s">
        <v>98</v>
      </c>
      <c r="G52" s="4">
        <v>150</v>
      </c>
      <c r="H52" s="12" t="s">
        <v>99</v>
      </c>
    </row>
    <row r="53" spans="3:8" ht="15">
      <c r="C53" s="7">
        <v>12</v>
      </c>
      <c r="D53" s="7"/>
      <c r="E53" s="5"/>
      <c r="F53" s="5"/>
      <c r="G53" s="5"/>
      <c r="H53" s="5"/>
    </row>
    <row r="54" spans="1:8" ht="14.25" customHeight="1">
      <c r="A54" s="1" t="s">
        <v>40</v>
      </c>
      <c r="B54" s="65" t="s">
        <v>42</v>
      </c>
      <c r="C54" s="65"/>
      <c r="D54" s="65"/>
      <c r="E54" s="65"/>
      <c r="F54" s="65"/>
      <c r="G54" s="65"/>
      <c r="H54" s="65"/>
    </row>
  </sheetData>
  <sheetProtection/>
  <mergeCells count="6">
    <mergeCell ref="B21:H21"/>
    <mergeCell ref="B54:H54"/>
    <mergeCell ref="A1:H1"/>
    <mergeCell ref="A2:H2"/>
    <mergeCell ref="A3:H3"/>
    <mergeCell ref="B5:H5"/>
  </mergeCells>
  <printOptions horizontalCentered="1"/>
  <pageMargins left="0.31496062992125984" right="0.2362204724409449" top="0.6692913385826772" bottom="0.35433070866141736" header="0.5118110236220472" footer="0.275590551181102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2020-06-19T05:49:05Z</cp:lastPrinted>
  <dcterms:created xsi:type="dcterms:W3CDTF">1996-10-08T23:32:33Z</dcterms:created>
  <dcterms:modified xsi:type="dcterms:W3CDTF">2021-09-17T08:52:23Z</dcterms:modified>
  <cp:category/>
  <cp:version/>
  <cp:contentType/>
  <cp:contentStatus/>
</cp:coreProperties>
</file>