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21" sheetId="1" r:id="rId1"/>
    <sheet name="2020" sheetId="2" r:id="rId2"/>
    <sheet name="2019" sheetId="3" r:id="rId3"/>
    <sheet name="2018" sheetId="4" r:id="rId4"/>
    <sheet name="2017" sheetId="5" r:id="rId5"/>
    <sheet name="2016" sheetId="6" r:id="rId6"/>
    <sheet name="2015" sheetId="7" r:id="rId7"/>
    <sheet name="2014" sheetId="8" r:id="rId8"/>
    <sheet name="2013" sheetId="9" r:id="rId9"/>
    <sheet name="2012" sheetId="10" r:id="rId10"/>
    <sheet name="Правила" sheetId="11" r:id="rId11"/>
  </sheets>
  <definedNames>
    <definedName name="_xlnm.Print_Area" localSheetId="9">'2012'!$A$1:$H$29</definedName>
  </definedNames>
  <calcPr fullCalcOnLoad="1" refMode="R1C1"/>
</workbook>
</file>

<file path=xl/sharedStrings.xml><?xml version="1.0" encoding="utf-8"?>
<sst xmlns="http://schemas.openxmlformats.org/spreadsheetml/2006/main" count="513" uniqueCount="50">
  <si>
    <t xml:space="preserve"> В зависимости от применяемого в отношении потребителя вида цены (тарифа) на
услуги по передаче электрической энергии в соответствии с Основами ценообразования в
области регулируемых цен (тарифов) в электроэнергетике объем услуг по передаче
электрической энергии, оказанных прочими сетевыми организациями, вне зависимости от
величины, заявленной в соответствии с пунктом 47 настоящих Правил, определяется
исходя из фактического объема потребления электрической энергии или исходя из
фактического объема потребления электрической энергии и среднего арифметического
значения из максимальных в каждые рабочие сутки расчетного периода фактических
почасовых объемов потребления электрической энергии (суммарных по всем точкам
поставки) в установленные системным оператором плановые часы пиковой нагрузки.
        Не позднее 1 января 2013 г. определение обязательств гарантирующего поставщика
(энергосбытовой организации), действующего в интересах обслуживаемых им по
договорам энергоснабжения потребителей электрической энергии, по оплате им услуг по
передаче электрической энергии осуществляется в соответствии с требованиями
настоящего пункта по совокупности точек поставки в границах балансовой
принадлежности энергопринимающих устройств каждого из обслуживаемых им
потребителей электрической энергии, в том числе исходя из варианта цены (тарифа),
применяемого в отношении соответствующего потребителя в установленном порядке.
Сетевая организация не вправе требовать применения иного способа определения
обязательств по оплате услуг по передаче электрической энергии.</t>
  </si>
  <si>
    <t>№ п.п</t>
  </si>
  <si>
    <t>НН</t>
  </si>
  <si>
    <t>ВН</t>
  </si>
  <si>
    <t>СН-2</t>
  </si>
  <si>
    <t>СН-1</t>
  </si>
  <si>
    <t>Максимальная разрешенная мощность потребителя, кВт</t>
  </si>
  <si>
    <t>Наименование потребителя *</t>
  </si>
  <si>
    <t>Величина резервируемой максимальной мощности, кВт</t>
  </si>
  <si>
    <t>Сентябрь</t>
  </si>
  <si>
    <t>Октябрь</t>
  </si>
  <si>
    <t>ООО "Вагонмаш +"  ПС "Индустрия 110/6кВ"</t>
  </si>
  <si>
    <t>ООО Группа Компаний "Промресурс"  ЦРП №13  10кВ</t>
  </si>
  <si>
    <t>Ноябрь</t>
  </si>
  <si>
    <t>Декабрь</t>
  </si>
  <si>
    <t>Величина фактической максимальной мощности **, кВт</t>
  </si>
  <si>
    <t>* учет резервируемой максимальной мощности в отношении потребителей электрической энергии, максимальная мощность энергопринимающих устройств которых в границах балансовой принадлежности составляет не менее 670 кВт</t>
  </si>
  <si>
    <t>Январь</t>
  </si>
  <si>
    <t>Февраль</t>
  </si>
  <si>
    <t>Март</t>
  </si>
  <si>
    <t>Апрель</t>
  </si>
  <si>
    <t>Май</t>
  </si>
  <si>
    <t>Июнь</t>
  </si>
  <si>
    <t>Июль</t>
  </si>
  <si>
    <t>Август</t>
  </si>
  <si>
    <t>за 2013 год по состоянию на 31.12.2013г.</t>
  </si>
  <si>
    <t>2-16, 6-18, 10-23</t>
  </si>
  <si>
    <t>за 2014 год по состоянию на 31.12.2014г.</t>
  </si>
  <si>
    <t>Сумма пиков</t>
  </si>
  <si>
    <t>за 2015 год по состоянию на 31.12.2015г.</t>
  </si>
  <si>
    <t>за 2016 год по состоянию на 31.12.2016г.</t>
  </si>
  <si>
    <t>за 2017 год по состоянию на 31.12.2017г.</t>
  </si>
  <si>
    <t xml:space="preserve">        Сетевая организация не позднее 20-го числа месяца, следующего за окончанием
каждого квартала, представляет в соответствующий орган исполнительной власти
субъекта Российской Федерации в области государственного регулирования тарифов
данные об усредненной за квартал величине резервируемой максимальной мощности
суммарно по всем потребителям электрической энергии, в отношении которых эта
величина определяется и в отношении энергопринимающих устройств которых такой
сетевой организацией заключен договор, с разбивкой по каждому уровню напряжения.";
        15.1. Обязательства потребителя услуг определяются в размере стоимости оказанных
услуг, установленном в соответствии с настоящим пунктом.
        Стоимость услуг по передаче электрической энергии определяется исходя из тарифа
на услуги по передаче электрической энергии, определяемого в соответствии с разделом V
настоящих Правил, и объема оказанных услуг по передаче электрической энергии.
        До 1 июля 2013 г. объем услуг по передаче электрической энергии, оказанных
организацией по управлению единой национальной (общероссийской) электрической
сетью, определяется исходя из объема электрической энергии в целях компенсации
нормативных технологических потерь в единой национальной (общероссийской)
электрической сети и величины заявленной мощности. В случае если в течение расчетного
периода регулирования за любые 2 и более часа будет выявлено превышение заявленной
мощности более чем на 10 процентов, то начиная с расчетного периода, в котором
выявлено такое превышение, и до конца расчетного периода регулирования обязательства
по оплате услуг по передаче электрической энергии (за исключением обязательств сетевых
организаций) определяются исходя из наибольшего за расчетный период регулирования
почасового значения потребления электрической энергии. Начиная с 1 июля 2013 г.
обязательства по оплате услуг по передаче электрической энергии, оказанных
организацией по управлению единой национальной (общероссийской) электрической
сетью (за исключением порядка определения объемов электрической энергии в целях
компенсации потерь), определяются в порядке, указанном в настоящем пункте для прочих
сетевых организаций.</t>
  </si>
  <si>
    <t xml:space="preserve">        8.1. В целях выявления, определения и рационального использования величины
мощности объектов электросетевого хозяйства сетевая организация обязана вести
учет резервируемой максимальной мощности в отношении потребителей
электрической энергии, максимальная мощность энергопринимающих устройств
которых в границах балансовой принадлежности составляет не менее 670 кВт,
включающий мероприятия по определению и регулярному мониторингу изменений
величины резервируемой максимальной мощности в соответствии с настоящим
пунктом.
        Резервируемая максимальная мощность определяется как разность между
максимальной мощностью энергопринимающих устройств потребителя и мощностью,
использованной в соответствующем  расчетном периоде для определения размера
обязательств потребителя по оплате услуг по передаче электрической энергии в
соответствии с пунктом 15.1 настоящих Правил. В случае отсутствия данных о почасовых
объемах потребления электрической энергии резервируемая максимальная мощность
рассчитывается исходя из результатов проведения контрольных замеров и иной
имеющейся информации.
        Начиная с 1 июля 2012 г. сетевая организация по окончании расчетного периода в
отношении каждого потребителя электрической энергии, который заключил договор с этой
сетевой  организацией и максимальная мощность энергопринимающих устройств
которого в границах балансовой принадлежности составляет не менее 670 кВт,
рассчитывает величину резервируемой максимальной мощности. В информационных
целях сетевая организация указывает величину резервируемой максимальной мощности
отдельной строкой в счетах на оплату услуг по передаче электрической энергии,
выставляемых ею потребителям электрической энергии, для которых указанная величина
подлежит определению.</t>
  </si>
  <si>
    <t>ООО "Железногорская Сетевая Компания"</t>
  </si>
  <si>
    <t>Величина резервируемой максимальной мощности</t>
  </si>
  <si>
    <t>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РФ от 27.12.2004г. №861, в разбивке по уровням напряжения</t>
  </si>
  <si>
    <t>** Средняя арифметическая величина из максимальных фактических мощностей, потребляемых в часы максимума нагрузки</t>
  </si>
  <si>
    <t>Июль***</t>
  </si>
  <si>
    <t>Август***</t>
  </si>
  <si>
    <t>*** в связи с отсутствием почасовых приборов учета у потребителей за июль-август месяцы фактическая максимальная мощность потребителей расчитана по данным замеров в режимные дни</t>
  </si>
  <si>
    <t>за 2012 год по состоянию на 31.12.2012г.</t>
  </si>
  <si>
    <t>пик</t>
  </si>
  <si>
    <t>ООО ПО "Вагонмаш "  ПС "Индустрия 110/6кВ"</t>
  </si>
  <si>
    <t>Максимальная разрешенная мощность потребителя по уровням напряжения, кВт</t>
  </si>
  <si>
    <t>за 2018 год по состоянию на 01.01.2019г.</t>
  </si>
  <si>
    <t>2-16, 6-18, 10-23, 14</t>
  </si>
  <si>
    <t>за 2019 год по состоянию на 31.12.2019г.</t>
  </si>
  <si>
    <t>за 2020 год по состоянию на 31.12.2020г.</t>
  </si>
  <si>
    <t>за 2021 год по состоянию на 01.09.2021г.</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</si>
</sst>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s>
  <fonts count="43">
    <font>
      <sz val="10"/>
      <name val="Arial"/>
      <family val="0"/>
    </font>
    <font>
      <sz val="10"/>
      <name val="Times New Roman"/>
      <family val="1"/>
    </font>
    <font>
      <sz val="12"/>
      <name val="Times New Roman"/>
      <family val="1"/>
    </font>
    <font>
      <b/>
      <sz val="14"/>
      <name val="Times New Roman"/>
      <family val="1"/>
    </font>
    <font>
      <sz val="8"/>
      <name val="Times New Roman"/>
      <family val="1"/>
    </font>
    <font>
      <sz val="10"/>
      <color indexed="10"/>
      <name val="Times New Roman"/>
      <family val="1"/>
    </font>
    <font>
      <sz val="10"/>
      <color indexed="22"/>
      <name val="Times New Roman"/>
      <family val="1"/>
    </font>
    <font>
      <sz val="12"/>
      <color indexed="22"/>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2" fillId="32" borderId="0" applyNumberFormat="0" applyBorder="0" applyAlignment="0" applyProtection="0"/>
  </cellStyleXfs>
  <cellXfs count="30">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vertical="center" wrapText="1"/>
    </xf>
    <xf numFmtId="0" fontId="0" fillId="0" borderId="0" xfId="0" applyAlignment="1">
      <alignment horizontal="justify"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187" fontId="1" fillId="0" borderId="10" xfId="58" applyFont="1" applyBorder="1" applyAlignment="1">
      <alignment horizontal="center" vertical="center" wrapText="1"/>
    </xf>
    <xf numFmtId="187" fontId="5" fillId="0" borderId="10" xfId="58" applyFont="1" applyBorder="1" applyAlignment="1">
      <alignment horizontal="center" vertical="center" wrapText="1"/>
    </xf>
    <xf numFmtId="187" fontId="1" fillId="33" borderId="10" xfId="58" applyFont="1" applyFill="1" applyBorder="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center" vertical="center" wrapText="1"/>
    </xf>
    <xf numFmtId="171" fontId="6"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187" fontId="1" fillId="0" borderId="10" xfId="58" applyFont="1" applyFill="1" applyBorder="1" applyAlignment="1">
      <alignment horizontal="center" vertical="center" wrapText="1"/>
    </xf>
    <xf numFmtId="0" fontId="6" fillId="0" borderId="0" xfId="0" applyFont="1" applyAlignment="1">
      <alignment vertical="center" wrapText="1"/>
    </xf>
    <xf numFmtId="171" fontId="5" fillId="0" borderId="0" xfId="0" applyNumberFormat="1" applyFont="1" applyFill="1" applyAlignment="1">
      <alignment horizontal="center" vertical="center" wrapText="1"/>
    </xf>
    <xf numFmtId="188" fontId="6"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1" fillId="0" borderId="11" xfId="0" applyFont="1" applyBorder="1" applyAlignment="1">
      <alignment horizontal="left" vertical="center" wrapText="1" indent="4"/>
    </xf>
    <xf numFmtId="0" fontId="1" fillId="0" borderId="12" xfId="0" applyFont="1" applyBorder="1" applyAlignment="1">
      <alignment horizontal="left" vertical="center" wrapText="1" indent="4"/>
    </xf>
    <xf numFmtId="0" fontId="1" fillId="0" borderId="13" xfId="0" applyFont="1" applyBorder="1" applyAlignment="1">
      <alignment horizontal="left" vertical="center" wrapText="1" indent="4"/>
    </xf>
    <xf numFmtId="0" fontId="3" fillId="0" borderId="0" xfId="0" applyFont="1" applyAlignment="1">
      <alignment horizontal="center" vertical="center" wrapText="1"/>
    </xf>
    <xf numFmtId="0" fontId="2" fillId="0" borderId="0" xfId="0" applyFont="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justify" vertical="center" wrapText="1"/>
    </xf>
    <xf numFmtId="0" fontId="1" fillId="0" borderId="0" xfId="0" applyFont="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tabSelected="1" zoomScalePageLayoutView="0" workbookViewId="0" topLeftCell="A1">
      <selection activeCell="A5" sqref="A5"/>
    </sheetView>
  </sheetViews>
  <sheetFormatPr defaultColWidth="9.140625" defaultRowHeight="12.75"/>
  <cols>
    <col min="1" max="1" width="5.140625" style="1" customWidth="1"/>
    <col min="2" max="2" width="49.8515625" style="1" customWidth="1"/>
    <col min="3" max="6" width="12.8515625" style="1" customWidth="1"/>
    <col min="7" max="8" width="17.7109375" style="1" customWidth="1"/>
    <col min="9" max="9" width="9.7109375" style="9" customWidth="1"/>
    <col min="10" max="10" width="10.421875" style="9" customWidth="1"/>
    <col min="11" max="11" width="9.140625" style="12" customWidth="1"/>
    <col min="12" max="16384" width="9.140625" style="1" customWidth="1"/>
  </cols>
  <sheetData>
    <row r="1" spans="1:8" ht="22.5" customHeight="1">
      <c r="A1" s="21" t="s">
        <v>34</v>
      </c>
      <c r="B1" s="21"/>
      <c r="C1" s="21"/>
      <c r="D1" s="21"/>
      <c r="E1" s="21"/>
      <c r="F1" s="21"/>
      <c r="G1" s="21"/>
      <c r="H1" s="21"/>
    </row>
    <row r="2" spans="1:8" ht="22.5" customHeight="1">
      <c r="A2" s="21" t="s">
        <v>35</v>
      </c>
      <c r="B2" s="21"/>
      <c r="C2" s="21"/>
      <c r="D2" s="21"/>
      <c r="E2" s="21"/>
      <c r="F2" s="21"/>
      <c r="G2" s="21"/>
      <c r="H2" s="21"/>
    </row>
    <row r="3" spans="1:8" ht="36.75" customHeight="1">
      <c r="A3" s="22" t="s">
        <v>36</v>
      </c>
      <c r="B3" s="22"/>
      <c r="C3" s="22"/>
      <c r="D3" s="22"/>
      <c r="E3" s="22"/>
      <c r="F3" s="22"/>
      <c r="G3" s="22"/>
      <c r="H3" s="22"/>
    </row>
    <row r="4" spans="1:8" ht="15">
      <c r="A4" s="22" t="s">
        <v>49</v>
      </c>
      <c r="B4" s="22"/>
      <c r="C4" s="22"/>
      <c r="D4" s="22"/>
      <c r="E4" s="22"/>
      <c r="F4" s="22"/>
      <c r="G4" s="22"/>
      <c r="H4" s="22"/>
    </row>
    <row r="5" spans="1:8" ht="26.25">
      <c r="A5" s="2"/>
      <c r="B5" s="2"/>
      <c r="C5" s="2"/>
      <c r="D5" s="2"/>
      <c r="E5" s="2"/>
      <c r="F5" s="2"/>
      <c r="G5" s="14" t="s">
        <v>46</v>
      </c>
      <c r="H5" s="2"/>
    </row>
    <row r="6" spans="1:8" ht="40.5" customHeight="1">
      <c r="A6" s="23" t="s">
        <v>1</v>
      </c>
      <c r="B6" s="23" t="s">
        <v>7</v>
      </c>
      <c r="C6" s="25" t="s">
        <v>44</v>
      </c>
      <c r="D6" s="26"/>
      <c r="E6" s="26"/>
      <c r="F6" s="27"/>
      <c r="G6" s="23" t="s">
        <v>15</v>
      </c>
      <c r="H6" s="23" t="s">
        <v>8</v>
      </c>
    </row>
    <row r="7" spans="1:9" ht="26.25">
      <c r="A7" s="24"/>
      <c r="B7" s="24"/>
      <c r="C7" s="4" t="s">
        <v>3</v>
      </c>
      <c r="D7" s="4" t="s">
        <v>5</v>
      </c>
      <c r="E7" s="4" t="s">
        <v>4</v>
      </c>
      <c r="F7" s="4" t="s">
        <v>2</v>
      </c>
      <c r="G7" s="24"/>
      <c r="H7" s="24"/>
      <c r="I7" s="9" t="s">
        <v>28</v>
      </c>
    </row>
    <row r="8" spans="1:8" ht="15">
      <c r="A8" s="18" t="s">
        <v>17</v>
      </c>
      <c r="B8" s="19"/>
      <c r="C8" s="19"/>
      <c r="D8" s="19"/>
      <c r="E8" s="19"/>
      <c r="F8" s="19"/>
      <c r="G8" s="19"/>
      <c r="H8" s="20"/>
    </row>
    <row r="9" spans="1:10" ht="15">
      <c r="A9" s="4">
        <v>1</v>
      </c>
      <c r="B9" s="5" t="s">
        <v>43</v>
      </c>
      <c r="C9" s="6">
        <f>4300+126+500+703</f>
        <v>5629</v>
      </c>
      <c r="D9" s="6"/>
      <c r="E9" s="6"/>
      <c r="F9" s="6"/>
      <c r="G9" s="6">
        <f>5.46+612.55+172.85+428.41+228.27+244.6+59.03</f>
        <v>1751.1699999999998</v>
      </c>
      <c r="H9" s="6">
        <f>C9+D9+E9+F9-G9</f>
        <v>3877.83</v>
      </c>
      <c r="I9" s="9">
        <f>6.48+1507+246.96+494.42+314.88+354.76+95.28</f>
        <v>3019.78</v>
      </c>
      <c r="J9" s="11">
        <f>C9-I9</f>
        <v>2609.22</v>
      </c>
    </row>
    <row r="10" spans="1:10" ht="15">
      <c r="A10" s="4">
        <v>2</v>
      </c>
      <c r="B10" s="5" t="s">
        <v>12</v>
      </c>
      <c r="C10" s="6"/>
      <c r="D10" s="6"/>
      <c r="E10" s="6">
        <v>1170</v>
      </c>
      <c r="F10" s="6"/>
      <c r="G10" s="6">
        <f>471.88+358.68</f>
        <v>830.56</v>
      </c>
      <c r="H10" s="6">
        <f>C10+D10+E10+F10-G10</f>
        <v>339.44000000000005</v>
      </c>
      <c r="I10" s="10">
        <f>509+374.6</f>
        <v>883.6</v>
      </c>
      <c r="J10" s="11">
        <f>E10-I10</f>
        <v>286.4</v>
      </c>
    </row>
    <row r="11" spans="1:8" ht="15">
      <c r="A11" s="18" t="s">
        <v>18</v>
      </c>
      <c r="B11" s="19"/>
      <c r="C11" s="19"/>
      <c r="D11" s="19"/>
      <c r="E11" s="19"/>
      <c r="F11" s="19"/>
      <c r="G11" s="19"/>
      <c r="H11" s="20"/>
    </row>
    <row r="12" spans="1:10" ht="15">
      <c r="A12" s="4">
        <v>1</v>
      </c>
      <c r="B12" s="5" t="s">
        <v>43</v>
      </c>
      <c r="C12" s="6">
        <f>4300+126+500+703</f>
        <v>5629</v>
      </c>
      <c r="D12" s="6"/>
      <c r="E12" s="6"/>
      <c r="F12" s="6"/>
      <c r="G12" s="6">
        <f>0+1784.59+141.67+480.96+316.08+220.66+184.4</f>
        <v>3128.3599999999997</v>
      </c>
      <c r="H12" s="6">
        <f>C12+D12+E12+F12-G12</f>
        <v>2500.6400000000003</v>
      </c>
      <c r="I12" s="9">
        <f>0+2080+204+698.2+396.5+339.8+251.8</f>
        <v>3970.3</v>
      </c>
      <c r="J12" s="11">
        <f>C12-I12</f>
        <v>1658.6999999999998</v>
      </c>
    </row>
    <row r="13" spans="1:10" ht="15">
      <c r="A13" s="4">
        <v>2</v>
      </c>
      <c r="B13" s="5" t="s">
        <v>12</v>
      </c>
      <c r="C13" s="6"/>
      <c r="D13" s="6"/>
      <c r="E13" s="6">
        <v>1170</v>
      </c>
      <c r="F13" s="6"/>
      <c r="G13" s="6">
        <f>519.2+357</f>
        <v>876.2</v>
      </c>
      <c r="H13" s="6">
        <f>C13+D13+E13+F13-G13</f>
        <v>293.79999999999995</v>
      </c>
      <c r="I13" s="10">
        <f>492.19+340.34</f>
        <v>832.53</v>
      </c>
      <c r="J13" s="11">
        <f>E13-I13</f>
        <v>337.47</v>
      </c>
    </row>
    <row r="14" spans="1:8" ht="15">
      <c r="A14" s="18" t="s">
        <v>19</v>
      </c>
      <c r="B14" s="19"/>
      <c r="C14" s="19"/>
      <c r="D14" s="19"/>
      <c r="E14" s="19"/>
      <c r="F14" s="19"/>
      <c r="G14" s="19"/>
      <c r="H14" s="20"/>
    </row>
    <row r="15" spans="1:10" ht="15">
      <c r="A15" s="4">
        <v>1</v>
      </c>
      <c r="B15" s="5" t="s">
        <v>43</v>
      </c>
      <c r="C15" s="6">
        <f>4300+126+500+703</f>
        <v>5629</v>
      </c>
      <c r="D15" s="6"/>
      <c r="E15" s="6"/>
      <c r="F15" s="6"/>
      <c r="G15" s="6">
        <f>4.74+1263.11+247.35+474.88+328.98+348.47+251.59</f>
        <v>2919.12</v>
      </c>
      <c r="H15" s="6">
        <f>C15+D15+E15+F15-G15</f>
        <v>2709.88</v>
      </c>
      <c r="I15" s="9">
        <f>5.76+1840.3+323.3+560.4+406+408.7+291.8</f>
        <v>3836.26</v>
      </c>
      <c r="J15" s="11">
        <f>C15-I15</f>
        <v>1792.7399999999998</v>
      </c>
    </row>
    <row r="16" spans="1:10" ht="15">
      <c r="A16" s="4">
        <v>2</v>
      </c>
      <c r="B16" s="5" t="s">
        <v>12</v>
      </c>
      <c r="C16" s="6"/>
      <c r="D16" s="6"/>
      <c r="E16" s="6">
        <v>1170</v>
      </c>
      <c r="F16" s="6"/>
      <c r="G16" s="6">
        <f>467.39+366.53</f>
        <v>833.92</v>
      </c>
      <c r="H16" s="6">
        <f>C16+D16+E16+F16-G16</f>
        <v>336.08000000000004</v>
      </c>
      <c r="I16" s="10"/>
      <c r="J16" s="11">
        <f>E16-I16</f>
        <v>1170</v>
      </c>
    </row>
    <row r="17" spans="1:8" ht="15">
      <c r="A17" s="18" t="s">
        <v>20</v>
      </c>
      <c r="B17" s="19"/>
      <c r="C17" s="19"/>
      <c r="D17" s="19"/>
      <c r="E17" s="19"/>
      <c r="F17" s="19"/>
      <c r="G17" s="19"/>
      <c r="H17" s="20"/>
    </row>
    <row r="18" spans="1:10" ht="15.75" customHeight="1">
      <c r="A18" s="4">
        <v>1</v>
      </c>
      <c r="B18" s="5" t="s">
        <v>43</v>
      </c>
      <c r="C18" s="6">
        <f>4300+126+500+703</f>
        <v>5629</v>
      </c>
      <c r="D18" s="6"/>
      <c r="E18" s="6"/>
      <c r="F18" s="6"/>
      <c r="G18" s="6">
        <f>4.3+717.66+297.82+489.44+324.11+346.46+201.82</f>
        <v>2381.61</v>
      </c>
      <c r="H18" s="6">
        <f>C18+D18+E18+F18-G18</f>
        <v>3247.39</v>
      </c>
      <c r="I18" s="10">
        <f>5.04+1612.8+329.28+559.68+404.76+405+295.44</f>
        <v>3611.9999999999995</v>
      </c>
      <c r="J18" s="11">
        <f>C18-I18</f>
        <v>2017.0000000000005</v>
      </c>
    </row>
    <row r="19" spans="1:10" ht="15">
      <c r="A19" s="4">
        <v>2</v>
      </c>
      <c r="B19" s="5" t="s">
        <v>12</v>
      </c>
      <c r="C19" s="6"/>
      <c r="D19" s="6"/>
      <c r="E19" s="6">
        <v>1170</v>
      </c>
      <c r="F19" s="6"/>
      <c r="G19" s="6">
        <f>452.03+354.008</f>
        <v>806.038</v>
      </c>
      <c r="H19" s="6">
        <f>C19+D19+E19+F19-G19</f>
        <v>363.962</v>
      </c>
      <c r="I19" s="10">
        <f>489.4+372</f>
        <v>861.4</v>
      </c>
      <c r="J19" s="11">
        <f>E19-I19</f>
        <v>308.6</v>
      </c>
    </row>
    <row r="20" spans="1:8" ht="15">
      <c r="A20" s="18" t="s">
        <v>21</v>
      </c>
      <c r="B20" s="19"/>
      <c r="C20" s="19"/>
      <c r="D20" s="19"/>
      <c r="E20" s="19"/>
      <c r="F20" s="19"/>
      <c r="G20" s="19"/>
      <c r="H20" s="20"/>
    </row>
    <row r="21" spans="1:10" ht="15">
      <c r="A21" s="4">
        <v>1</v>
      </c>
      <c r="B21" s="5" t="s">
        <v>43</v>
      </c>
      <c r="C21" s="6">
        <f>4300+126+500+703</f>
        <v>5629</v>
      </c>
      <c r="D21" s="6"/>
      <c r="E21" s="6"/>
      <c r="F21" s="6"/>
      <c r="G21" s="6">
        <f>3.86+919.21+295.11+458.29+280.7+334.84+237.84</f>
        <v>2529.8500000000004</v>
      </c>
      <c r="H21" s="6">
        <f>C21+D21+E21+F21-G21</f>
        <v>3099.1499999999996</v>
      </c>
      <c r="I21" s="9">
        <f>4.32+1990.8+347.52+530.4+367.92+405.84+292.8</f>
        <v>3939.6000000000004</v>
      </c>
      <c r="J21" s="11">
        <f>C21-I21</f>
        <v>1689.3999999999996</v>
      </c>
    </row>
    <row r="22" spans="1:10" ht="15">
      <c r="A22" s="4">
        <v>2</v>
      </c>
      <c r="B22" s="5" t="s">
        <v>12</v>
      </c>
      <c r="C22" s="6"/>
      <c r="D22" s="6"/>
      <c r="E22" s="6">
        <v>1170</v>
      </c>
      <c r="F22" s="6"/>
      <c r="G22" s="6">
        <f>465.2+413.09</f>
        <v>878.29</v>
      </c>
      <c r="H22" s="6">
        <f>C22+D22+E22+F22-G22</f>
        <v>291.71000000000004</v>
      </c>
      <c r="I22" s="10">
        <f>508.2+614.4</f>
        <v>1122.6</v>
      </c>
      <c r="J22" s="11">
        <f>E22-I22</f>
        <v>47.40000000000009</v>
      </c>
    </row>
    <row r="23" spans="1:10" ht="15">
      <c r="A23" s="18" t="s">
        <v>22</v>
      </c>
      <c r="B23" s="19"/>
      <c r="C23" s="19"/>
      <c r="D23" s="19"/>
      <c r="E23" s="19"/>
      <c r="F23" s="19"/>
      <c r="G23" s="19"/>
      <c r="H23" s="20"/>
      <c r="J23" s="11"/>
    </row>
    <row r="24" spans="1:10" ht="15.75" customHeight="1">
      <c r="A24" s="4">
        <v>1</v>
      </c>
      <c r="B24" s="5" t="s">
        <v>43</v>
      </c>
      <c r="C24" s="6">
        <f>4300+126+500+703</f>
        <v>5629</v>
      </c>
      <c r="D24" s="6"/>
      <c r="E24" s="6"/>
      <c r="F24" s="6"/>
      <c r="G24" s="6">
        <f>51.72+1104.77+303.42+467.18+252.02+342.38+201.58</f>
        <v>2723.07</v>
      </c>
      <c r="H24" s="6">
        <f>C24+D24+E24+F24-G24</f>
        <v>2905.93</v>
      </c>
      <c r="I24" s="9">
        <f>312.5+1914.1+338.9+552+325+426.7+338.9</f>
        <v>4208.099999999999</v>
      </c>
      <c r="J24" s="11">
        <f>C24-I24</f>
        <v>1420.9000000000005</v>
      </c>
    </row>
    <row r="25" spans="1:10" ht="15">
      <c r="A25" s="4">
        <v>2</v>
      </c>
      <c r="B25" s="5" t="s">
        <v>12</v>
      </c>
      <c r="C25" s="6"/>
      <c r="D25" s="6"/>
      <c r="E25" s="6">
        <v>1170</v>
      </c>
      <c r="F25" s="6"/>
      <c r="G25" s="13">
        <f>510.37+530.99</f>
        <v>1041.3600000000001</v>
      </c>
      <c r="H25" s="6">
        <f>C25+D25+E25+F25-G25</f>
        <v>128.63999999999987</v>
      </c>
      <c r="I25" s="10">
        <f>560.6+652</f>
        <v>1212.6</v>
      </c>
      <c r="J25" s="11">
        <f>E25-I25</f>
        <v>-42.59999999999991</v>
      </c>
    </row>
    <row r="26" spans="1:8" ht="15">
      <c r="A26" s="18" t="s">
        <v>23</v>
      </c>
      <c r="B26" s="19"/>
      <c r="C26" s="19"/>
      <c r="D26" s="19"/>
      <c r="E26" s="19"/>
      <c r="F26" s="19"/>
      <c r="G26" s="19"/>
      <c r="H26" s="20"/>
    </row>
    <row r="27" spans="1:10" ht="15.75" customHeight="1">
      <c r="A27" s="4">
        <v>1</v>
      </c>
      <c r="B27" s="5" t="s">
        <v>43</v>
      </c>
      <c r="C27" s="6">
        <f>4300+126+500+703</f>
        <v>5629</v>
      </c>
      <c r="D27" s="6"/>
      <c r="E27" s="6"/>
      <c r="F27" s="6"/>
      <c r="G27" s="6">
        <f>307.14+508.04+285.17+431+257.26+251.79+0</f>
        <v>2040.4</v>
      </c>
      <c r="H27" s="6">
        <f>C27+D27+E27+F27-G27</f>
        <v>3588.6</v>
      </c>
      <c r="I27" s="9">
        <f>832.32+1630.44+334.8+519.84+311.28+415.44</f>
        <v>4044.1200000000003</v>
      </c>
      <c r="J27" s="11">
        <f>C27-I27</f>
        <v>1584.8799999999997</v>
      </c>
    </row>
    <row r="28" spans="1:10" ht="15">
      <c r="A28" s="4">
        <v>2</v>
      </c>
      <c r="B28" s="5" t="s">
        <v>12</v>
      </c>
      <c r="C28" s="6"/>
      <c r="D28" s="6"/>
      <c r="E28" s="6">
        <v>1170</v>
      </c>
      <c r="F28" s="6"/>
      <c r="G28" s="13">
        <f>516.12+541.4</f>
        <v>1057.52</v>
      </c>
      <c r="H28" s="6">
        <f>C28+D28+E28+F28-G28</f>
        <v>112.48000000000002</v>
      </c>
      <c r="I28" s="10">
        <f>585.47+638.6</f>
        <v>1224.0700000000002</v>
      </c>
      <c r="J28" s="11">
        <f>E28-I28</f>
        <v>-54.070000000000164</v>
      </c>
    </row>
    <row r="29" spans="1:8" ht="15">
      <c r="A29" s="18" t="s">
        <v>24</v>
      </c>
      <c r="B29" s="19"/>
      <c r="C29" s="19"/>
      <c r="D29" s="19"/>
      <c r="E29" s="19"/>
      <c r="F29" s="19"/>
      <c r="G29" s="19"/>
      <c r="H29" s="20"/>
    </row>
    <row r="30" spans="1:10" ht="15.75" customHeight="1">
      <c r="A30" s="4">
        <v>1</v>
      </c>
      <c r="B30" s="5" t="s">
        <v>43</v>
      </c>
      <c r="C30" s="6">
        <f>4300+126+500+703</f>
        <v>5629</v>
      </c>
      <c r="D30" s="6"/>
      <c r="E30" s="6"/>
      <c r="F30" s="6"/>
      <c r="G30" s="6">
        <f>372.94+1079.32+291.81+401.09+266.45+336.77+0</f>
        <v>2748.3799999999997</v>
      </c>
      <c r="H30" s="6">
        <f>C30+D30+E30+F30-G30</f>
        <v>2880.6200000000003</v>
      </c>
      <c r="I30" s="9">
        <f>1269.36+2002.94+321.36+513.6+372.24+392.64+0</f>
        <v>4872.14</v>
      </c>
      <c r="J30" s="11">
        <f>C30-I30</f>
        <v>756.8599999999997</v>
      </c>
    </row>
    <row r="31" spans="1:10" ht="15.75" customHeight="1">
      <c r="A31" s="4">
        <v>2</v>
      </c>
      <c r="B31" s="5" t="s">
        <v>12</v>
      </c>
      <c r="C31" s="6"/>
      <c r="D31" s="6"/>
      <c r="E31" s="6">
        <v>1170</v>
      </c>
      <c r="F31" s="6"/>
      <c r="G31" s="6">
        <f>514.85+558.35</f>
        <v>1073.2</v>
      </c>
      <c r="H31" s="6">
        <f>C31+D31+E31+F31-G31</f>
        <v>96.79999999999995</v>
      </c>
      <c r="I31" s="9">
        <f>538.6+646.2</f>
        <v>1184.8000000000002</v>
      </c>
      <c r="J31" s="11">
        <f>E31-I31</f>
        <v>-14.800000000000182</v>
      </c>
    </row>
    <row r="32" spans="1:8" ht="15">
      <c r="A32" s="18" t="s">
        <v>9</v>
      </c>
      <c r="B32" s="19"/>
      <c r="C32" s="19"/>
      <c r="D32" s="19"/>
      <c r="E32" s="19"/>
      <c r="F32" s="19"/>
      <c r="G32" s="19"/>
      <c r="H32" s="20"/>
    </row>
    <row r="33" spans="1:10" ht="15">
      <c r="A33" s="4">
        <v>1</v>
      </c>
      <c r="B33" s="5" t="s">
        <v>43</v>
      </c>
      <c r="C33" s="6">
        <f>4300+126+500+703</f>
        <v>5629</v>
      </c>
      <c r="D33" s="6"/>
      <c r="E33" s="6"/>
      <c r="F33" s="6"/>
      <c r="G33" s="6"/>
      <c r="H33" s="6">
        <f>C33+D33+E33+F33-G33</f>
        <v>5629</v>
      </c>
      <c r="J33" s="11">
        <f>C33-I33</f>
        <v>5629</v>
      </c>
    </row>
    <row r="34" spans="1:10" ht="15.75" customHeight="1">
      <c r="A34" s="4">
        <v>2</v>
      </c>
      <c r="B34" s="5" t="s">
        <v>12</v>
      </c>
      <c r="C34" s="6"/>
      <c r="D34" s="6"/>
      <c r="E34" s="6">
        <v>1170</v>
      </c>
      <c r="F34" s="6"/>
      <c r="G34" s="6"/>
      <c r="H34" s="6">
        <f>C34+D34+E34+F34-G34</f>
        <v>1170</v>
      </c>
      <c r="J34" s="11">
        <f>E34-I34</f>
        <v>1170</v>
      </c>
    </row>
    <row r="35" spans="1:8" ht="15">
      <c r="A35" s="18" t="s">
        <v>10</v>
      </c>
      <c r="B35" s="19"/>
      <c r="C35" s="19"/>
      <c r="D35" s="19"/>
      <c r="E35" s="19"/>
      <c r="F35" s="19"/>
      <c r="G35" s="19"/>
      <c r="H35" s="20"/>
    </row>
    <row r="36" spans="1:10" ht="15.75" customHeight="1">
      <c r="A36" s="4">
        <v>1</v>
      </c>
      <c r="B36" s="5" t="s">
        <v>43</v>
      </c>
      <c r="C36" s="6">
        <f>4300+126+500+703</f>
        <v>5629</v>
      </c>
      <c r="D36" s="6"/>
      <c r="E36" s="6"/>
      <c r="F36" s="6"/>
      <c r="G36" s="6"/>
      <c r="H36" s="6">
        <f>C36+D36+E36+F36-G36</f>
        <v>5629</v>
      </c>
      <c r="J36" s="11">
        <f>C36-I36</f>
        <v>5629</v>
      </c>
    </row>
    <row r="37" spans="1:10" ht="15.75" customHeight="1">
      <c r="A37" s="4">
        <v>2</v>
      </c>
      <c r="B37" s="5" t="s">
        <v>12</v>
      </c>
      <c r="C37" s="6"/>
      <c r="D37" s="6"/>
      <c r="E37" s="6">
        <v>1170</v>
      </c>
      <c r="F37" s="6"/>
      <c r="G37" s="6"/>
      <c r="H37" s="6">
        <f>C37+D37+E37+F37-G37</f>
        <v>1170</v>
      </c>
      <c r="J37" s="11">
        <f>E37-I37</f>
        <v>1170</v>
      </c>
    </row>
    <row r="38" spans="1:8" ht="15">
      <c r="A38" s="18" t="s">
        <v>13</v>
      </c>
      <c r="B38" s="19"/>
      <c r="C38" s="19"/>
      <c r="D38" s="19"/>
      <c r="E38" s="19"/>
      <c r="F38" s="19"/>
      <c r="G38" s="19"/>
      <c r="H38" s="20"/>
    </row>
    <row r="39" spans="1:10" ht="15">
      <c r="A39" s="4">
        <v>1</v>
      </c>
      <c r="B39" s="5" t="s">
        <v>43</v>
      </c>
      <c r="C39" s="6">
        <f>4300+126+500+703</f>
        <v>5629</v>
      </c>
      <c r="D39" s="6"/>
      <c r="E39" s="6"/>
      <c r="F39" s="6"/>
      <c r="G39" s="6"/>
      <c r="H39" s="6">
        <f>C39+D39+E39+F39-G39</f>
        <v>5629</v>
      </c>
      <c r="J39" s="11">
        <f>C39-I39</f>
        <v>5629</v>
      </c>
    </row>
    <row r="40" spans="1:10" ht="15">
      <c r="A40" s="4">
        <v>2</v>
      </c>
      <c r="B40" s="5" t="s">
        <v>12</v>
      </c>
      <c r="C40" s="6"/>
      <c r="D40" s="6"/>
      <c r="E40" s="6">
        <v>1170</v>
      </c>
      <c r="F40" s="6"/>
      <c r="G40" s="6"/>
      <c r="H40" s="6">
        <f>C40+D40+E40+F40-G40</f>
        <v>1170</v>
      </c>
      <c r="I40" s="10"/>
      <c r="J40" s="11">
        <f>E40-I40</f>
        <v>1170</v>
      </c>
    </row>
    <row r="41" spans="1:8" ht="15">
      <c r="A41" s="18" t="s">
        <v>14</v>
      </c>
      <c r="B41" s="19"/>
      <c r="C41" s="19"/>
      <c r="D41" s="19"/>
      <c r="E41" s="19"/>
      <c r="F41" s="19"/>
      <c r="G41" s="19"/>
      <c r="H41" s="20"/>
    </row>
    <row r="42" spans="1:10" ht="15">
      <c r="A42" s="4">
        <v>1</v>
      </c>
      <c r="B42" s="5" t="s">
        <v>43</v>
      </c>
      <c r="C42" s="6">
        <f>4300+126+500+703</f>
        <v>5629</v>
      </c>
      <c r="D42" s="6"/>
      <c r="E42" s="6"/>
      <c r="F42" s="6"/>
      <c r="G42" s="6"/>
      <c r="H42" s="6">
        <f>C42+D42+E42+F42-G42</f>
        <v>5629</v>
      </c>
      <c r="J42" s="11">
        <f>C42-I42</f>
        <v>5629</v>
      </c>
    </row>
    <row r="43" spans="1:10" ht="15">
      <c r="A43" s="4">
        <v>2</v>
      </c>
      <c r="B43" s="5" t="s">
        <v>12</v>
      </c>
      <c r="C43" s="6"/>
      <c r="D43" s="6"/>
      <c r="E43" s="6">
        <v>1170</v>
      </c>
      <c r="F43" s="6"/>
      <c r="G43" s="6">
        <f>487.47+370.27</f>
        <v>857.74</v>
      </c>
      <c r="H43" s="6">
        <f>C43+D43+E43+F43-G43</f>
        <v>312.26</v>
      </c>
      <c r="J43" s="11">
        <f>E43-I43</f>
        <v>1170</v>
      </c>
    </row>
    <row r="44" spans="1:8" ht="28.5" customHeight="1">
      <c r="A44" s="17" t="s">
        <v>16</v>
      </c>
      <c r="B44" s="17"/>
      <c r="C44" s="17"/>
      <c r="D44" s="17"/>
      <c r="E44" s="17"/>
      <c r="F44" s="17"/>
      <c r="G44" s="17"/>
      <c r="H44" s="17"/>
    </row>
    <row r="45" spans="1:8" ht="15" customHeight="1">
      <c r="A45" s="17" t="s">
        <v>37</v>
      </c>
      <c r="B45" s="17"/>
      <c r="C45" s="17"/>
      <c r="D45" s="17"/>
      <c r="E45" s="17"/>
      <c r="F45" s="17"/>
      <c r="G45" s="17"/>
      <c r="H45" s="17"/>
    </row>
    <row r="46" spans="1:8" ht="15">
      <c r="A46" s="17"/>
      <c r="B46" s="17"/>
      <c r="C46" s="17"/>
      <c r="D46" s="17"/>
      <c r="E46" s="17"/>
      <c r="F46" s="17"/>
      <c r="G46" s="17"/>
      <c r="H46" s="17"/>
    </row>
  </sheetData>
  <sheetProtection/>
  <mergeCells count="24">
    <mergeCell ref="A1:H1"/>
    <mergeCell ref="A2:H2"/>
    <mergeCell ref="A3:H3"/>
    <mergeCell ref="A4:H4"/>
    <mergeCell ref="A6:A7"/>
    <mergeCell ref="B6:B7"/>
    <mergeCell ref="C6:F6"/>
    <mergeCell ref="G6:G7"/>
    <mergeCell ref="H6:H7"/>
    <mergeCell ref="A8:H8"/>
    <mergeCell ref="A11:H11"/>
    <mergeCell ref="A14:H14"/>
    <mergeCell ref="A17:H17"/>
    <mergeCell ref="A20:H20"/>
    <mergeCell ref="A23:H23"/>
    <mergeCell ref="A44:H44"/>
    <mergeCell ref="A45:H45"/>
    <mergeCell ref="A46:H46"/>
    <mergeCell ref="A26:H26"/>
    <mergeCell ref="A29:H29"/>
    <mergeCell ref="A32:H32"/>
    <mergeCell ref="A35:H35"/>
    <mergeCell ref="A38:H38"/>
    <mergeCell ref="A41:H4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H30"/>
  <sheetViews>
    <sheetView view="pageBreakPreview" zoomScaleSheetLayoutView="100" zoomScalePageLayoutView="0" workbookViewId="0" topLeftCell="A1">
      <selection activeCell="D31" sqref="D31"/>
    </sheetView>
  </sheetViews>
  <sheetFormatPr defaultColWidth="9.140625" defaultRowHeight="12.75"/>
  <cols>
    <col min="1" max="1" width="5.140625" style="1" customWidth="1"/>
    <col min="2" max="2" width="49.8515625" style="1" customWidth="1"/>
    <col min="3" max="6" width="12.8515625" style="1" customWidth="1"/>
    <col min="7" max="8" width="17.7109375" style="1" customWidth="1"/>
    <col min="9" max="16384" width="9.140625" style="1" customWidth="1"/>
  </cols>
  <sheetData>
    <row r="1" spans="1:8" ht="22.5" customHeight="1">
      <c r="A1" s="21" t="s">
        <v>34</v>
      </c>
      <c r="B1" s="21"/>
      <c r="C1" s="21"/>
      <c r="D1" s="21"/>
      <c r="E1" s="21"/>
      <c r="F1" s="21"/>
      <c r="G1" s="21"/>
      <c r="H1" s="21"/>
    </row>
    <row r="2" spans="1:8" ht="22.5" customHeight="1">
      <c r="A2" s="21" t="s">
        <v>35</v>
      </c>
      <c r="B2" s="21"/>
      <c r="C2" s="21"/>
      <c r="D2" s="21"/>
      <c r="E2" s="21"/>
      <c r="F2" s="21"/>
      <c r="G2" s="21"/>
      <c r="H2" s="21"/>
    </row>
    <row r="3" spans="1:8" ht="36.75" customHeight="1">
      <c r="A3" s="22" t="s">
        <v>36</v>
      </c>
      <c r="B3" s="22"/>
      <c r="C3" s="22"/>
      <c r="D3" s="22"/>
      <c r="E3" s="22"/>
      <c r="F3" s="22"/>
      <c r="G3" s="22"/>
      <c r="H3" s="22"/>
    </row>
    <row r="4" spans="1:8" ht="15">
      <c r="A4" s="22" t="s">
        <v>41</v>
      </c>
      <c r="B4" s="22"/>
      <c r="C4" s="22"/>
      <c r="D4" s="22"/>
      <c r="E4" s="22"/>
      <c r="F4" s="22"/>
      <c r="G4" s="22"/>
      <c r="H4" s="22"/>
    </row>
    <row r="5" spans="1:8" ht="15">
      <c r="A5" s="2"/>
      <c r="B5" s="2"/>
      <c r="C5" s="2"/>
      <c r="D5" s="2"/>
      <c r="E5" s="2"/>
      <c r="F5" s="2"/>
      <c r="G5" s="2"/>
      <c r="H5" s="2"/>
    </row>
    <row r="6" spans="1:8" ht="40.5" customHeight="1">
      <c r="A6" s="23" t="s">
        <v>1</v>
      </c>
      <c r="B6" s="23" t="s">
        <v>7</v>
      </c>
      <c r="C6" s="25" t="s">
        <v>6</v>
      </c>
      <c r="D6" s="26"/>
      <c r="E6" s="26"/>
      <c r="F6" s="27"/>
      <c r="G6" s="23" t="s">
        <v>15</v>
      </c>
      <c r="H6" s="23" t="s">
        <v>8</v>
      </c>
    </row>
    <row r="7" spans="1:8" ht="15">
      <c r="A7" s="24"/>
      <c r="B7" s="24"/>
      <c r="C7" s="4" t="s">
        <v>3</v>
      </c>
      <c r="D7" s="4" t="s">
        <v>5</v>
      </c>
      <c r="E7" s="4" t="s">
        <v>4</v>
      </c>
      <c r="F7" s="4" t="s">
        <v>2</v>
      </c>
      <c r="G7" s="24"/>
      <c r="H7" s="24"/>
    </row>
    <row r="8" spans="1:8" ht="15">
      <c r="A8" s="18" t="s">
        <v>38</v>
      </c>
      <c r="B8" s="19"/>
      <c r="C8" s="19"/>
      <c r="D8" s="19"/>
      <c r="E8" s="19"/>
      <c r="F8" s="19"/>
      <c r="G8" s="19"/>
      <c r="H8" s="20"/>
    </row>
    <row r="9" spans="1:8" ht="15">
      <c r="A9" s="4">
        <v>1</v>
      </c>
      <c r="B9" s="5" t="s">
        <v>11</v>
      </c>
      <c r="C9" s="6">
        <v>4300</v>
      </c>
      <c r="D9" s="6"/>
      <c r="E9" s="6"/>
      <c r="F9" s="6"/>
      <c r="G9" s="6">
        <v>1770</v>
      </c>
      <c r="H9" s="6">
        <f>C9+D9+E9+F9-G9</f>
        <v>2530</v>
      </c>
    </row>
    <row r="10" spans="1:8" ht="15">
      <c r="A10" s="4">
        <v>2</v>
      </c>
      <c r="B10" s="5" t="s">
        <v>12</v>
      </c>
      <c r="C10" s="6"/>
      <c r="D10" s="6"/>
      <c r="E10" s="6">
        <v>1170</v>
      </c>
      <c r="F10" s="6"/>
      <c r="G10" s="6">
        <v>1088</v>
      </c>
      <c r="H10" s="6">
        <f>C10+D10+E10+F10-G10</f>
        <v>82</v>
      </c>
    </row>
    <row r="11" spans="1:8" ht="15">
      <c r="A11" s="18" t="s">
        <v>39</v>
      </c>
      <c r="B11" s="19"/>
      <c r="C11" s="19"/>
      <c r="D11" s="19"/>
      <c r="E11" s="19"/>
      <c r="F11" s="19"/>
      <c r="G11" s="19"/>
      <c r="H11" s="20"/>
    </row>
    <row r="12" spans="1:8" ht="15">
      <c r="A12" s="4">
        <v>1</v>
      </c>
      <c r="B12" s="5" t="s">
        <v>11</v>
      </c>
      <c r="C12" s="6">
        <v>4300</v>
      </c>
      <c r="D12" s="6"/>
      <c r="E12" s="6"/>
      <c r="F12" s="6"/>
      <c r="G12" s="6">
        <v>1770</v>
      </c>
      <c r="H12" s="6">
        <f>C12+D12+E12+F12-G12</f>
        <v>2530</v>
      </c>
    </row>
    <row r="13" spans="1:8" ht="15">
      <c r="A13" s="4">
        <v>2</v>
      </c>
      <c r="B13" s="5" t="s">
        <v>12</v>
      </c>
      <c r="C13" s="6"/>
      <c r="D13" s="6"/>
      <c r="E13" s="6">
        <v>1170</v>
      </c>
      <c r="F13" s="6"/>
      <c r="G13" s="6">
        <v>1088</v>
      </c>
      <c r="H13" s="6">
        <f>C13+D13+E13+F13-G13</f>
        <v>82</v>
      </c>
    </row>
    <row r="14" spans="1:8" ht="15">
      <c r="A14" s="18" t="s">
        <v>9</v>
      </c>
      <c r="B14" s="19"/>
      <c r="C14" s="19"/>
      <c r="D14" s="19"/>
      <c r="E14" s="19"/>
      <c r="F14" s="19"/>
      <c r="G14" s="19"/>
      <c r="H14" s="20"/>
    </row>
    <row r="15" spans="1:8" ht="15">
      <c r="A15" s="4">
        <v>1</v>
      </c>
      <c r="B15" s="5" t="s">
        <v>11</v>
      </c>
      <c r="C15" s="6">
        <v>4300</v>
      </c>
      <c r="D15" s="6"/>
      <c r="E15" s="6"/>
      <c r="F15" s="6"/>
      <c r="G15" s="6">
        <v>1633.09</v>
      </c>
      <c r="H15" s="6">
        <f>C15+D15+E15+F15-G15</f>
        <v>2666.91</v>
      </c>
    </row>
    <row r="16" spans="1:8" ht="15.75" customHeight="1">
      <c r="A16" s="4">
        <v>2</v>
      </c>
      <c r="B16" s="5" t="s">
        <v>12</v>
      </c>
      <c r="C16" s="6"/>
      <c r="D16" s="6"/>
      <c r="E16" s="6">
        <v>1170</v>
      </c>
      <c r="F16" s="6"/>
      <c r="G16" s="6">
        <v>1118.68</v>
      </c>
      <c r="H16" s="6">
        <f>C16+D16+E16+F16-G16</f>
        <v>51.319999999999936</v>
      </c>
    </row>
    <row r="17" spans="1:8" ht="15">
      <c r="A17" s="18" t="s">
        <v>10</v>
      </c>
      <c r="B17" s="19"/>
      <c r="C17" s="19"/>
      <c r="D17" s="19"/>
      <c r="E17" s="19"/>
      <c r="F17" s="19"/>
      <c r="G17" s="19"/>
      <c r="H17" s="20"/>
    </row>
    <row r="18" spans="1:8" ht="15">
      <c r="A18" s="4">
        <v>1</v>
      </c>
      <c r="B18" s="5" t="s">
        <v>11</v>
      </c>
      <c r="C18" s="6">
        <v>4300</v>
      </c>
      <c r="D18" s="6"/>
      <c r="E18" s="6"/>
      <c r="F18" s="6"/>
      <c r="G18" s="6">
        <v>1636.58</v>
      </c>
      <c r="H18" s="6">
        <f>C18+D18+E18+F18-G18</f>
        <v>2663.42</v>
      </c>
    </row>
    <row r="19" spans="1:8" ht="15">
      <c r="A19" s="4">
        <v>2</v>
      </c>
      <c r="B19" s="5" t="s">
        <v>12</v>
      </c>
      <c r="C19" s="6"/>
      <c r="D19" s="6"/>
      <c r="E19" s="6">
        <v>1170</v>
      </c>
      <c r="F19" s="6"/>
      <c r="G19" s="6">
        <v>1040.97</v>
      </c>
      <c r="H19" s="6">
        <f>C19+D19+E19+F19-G19</f>
        <v>129.02999999999997</v>
      </c>
    </row>
    <row r="20" spans="1:8" ht="15">
      <c r="A20" s="18" t="s">
        <v>13</v>
      </c>
      <c r="B20" s="19"/>
      <c r="C20" s="19"/>
      <c r="D20" s="19"/>
      <c r="E20" s="19"/>
      <c r="F20" s="19"/>
      <c r="G20" s="19"/>
      <c r="H20" s="20"/>
    </row>
    <row r="21" spans="1:8" ht="15">
      <c r="A21" s="4">
        <v>1</v>
      </c>
      <c r="B21" s="5" t="s">
        <v>11</v>
      </c>
      <c r="C21" s="6">
        <v>4300</v>
      </c>
      <c r="D21" s="6"/>
      <c r="E21" s="6"/>
      <c r="F21" s="6"/>
      <c r="G21" s="6">
        <v>1371.57</v>
      </c>
      <c r="H21" s="6">
        <f>C21+D21+E21+F21-G21</f>
        <v>2928.4300000000003</v>
      </c>
    </row>
    <row r="22" spans="1:8" ht="15">
      <c r="A22" s="4">
        <v>2</v>
      </c>
      <c r="B22" s="5" t="s">
        <v>12</v>
      </c>
      <c r="C22" s="6"/>
      <c r="D22" s="6"/>
      <c r="E22" s="6">
        <v>1170</v>
      </c>
      <c r="F22" s="6"/>
      <c r="G22" s="6">
        <v>984.87</v>
      </c>
      <c r="H22" s="6">
        <f>C22+D22+E22+F22-G22</f>
        <v>185.13</v>
      </c>
    </row>
    <row r="23" spans="1:8" ht="15">
      <c r="A23" s="18" t="s">
        <v>14</v>
      </c>
      <c r="B23" s="19"/>
      <c r="C23" s="19"/>
      <c r="D23" s="19"/>
      <c r="E23" s="19"/>
      <c r="F23" s="19"/>
      <c r="G23" s="19"/>
      <c r="H23" s="20"/>
    </row>
    <row r="24" spans="1:8" ht="15">
      <c r="A24" s="4">
        <v>1</v>
      </c>
      <c r="B24" s="5" t="s">
        <v>11</v>
      </c>
      <c r="C24" s="6">
        <v>4300</v>
      </c>
      <c r="D24" s="6"/>
      <c r="E24" s="6"/>
      <c r="F24" s="6"/>
      <c r="G24" s="6">
        <v>1201.95</v>
      </c>
      <c r="H24" s="6">
        <f>C24+D24+E24+F24-G24</f>
        <v>3098.05</v>
      </c>
    </row>
    <row r="25" spans="1:8" ht="15">
      <c r="A25" s="4">
        <v>2</v>
      </c>
      <c r="B25" s="5" t="s">
        <v>12</v>
      </c>
      <c r="C25" s="6"/>
      <c r="D25" s="6"/>
      <c r="E25" s="6">
        <v>1170</v>
      </c>
      <c r="F25" s="6"/>
      <c r="G25" s="6">
        <v>974.01</v>
      </c>
      <c r="H25" s="6">
        <f>C25+D25+E25+F25-G25</f>
        <v>195.99</v>
      </c>
    </row>
    <row r="26" spans="1:8" ht="15">
      <c r="A26" s="4"/>
      <c r="B26" s="4"/>
      <c r="C26" s="6"/>
      <c r="D26" s="6"/>
      <c r="E26" s="6"/>
      <c r="F26" s="6"/>
      <c r="G26" s="6"/>
      <c r="H26" s="6"/>
    </row>
    <row r="27" spans="1:8" ht="28.5" customHeight="1">
      <c r="A27" s="17" t="s">
        <v>16</v>
      </c>
      <c r="B27" s="17"/>
      <c r="C27" s="17"/>
      <c r="D27" s="17"/>
      <c r="E27" s="17"/>
      <c r="F27" s="17"/>
      <c r="G27" s="17"/>
      <c r="H27" s="17"/>
    </row>
    <row r="28" spans="1:8" ht="15" customHeight="1">
      <c r="A28" s="17" t="s">
        <v>37</v>
      </c>
      <c r="B28" s="17"/>
      <c r="C28" s="17"/>
      <c r="D28" s="17"/>
      <c r="E28" s="17"/>
      <c r="F28" s="17"/>
      <c r="G28" s="17"/>
      <c r="H28" s="17"/>
    </row>
    <row r="29" spans="1:8" ht="15" customHeight="1">
      <c r="A29" s="17" t="s">
        <v>40</v>
      </c>
      <c r="B29" s="17"/>
      <c r="C29" s="17"/>
      <c r="D29" s="17"/>
      <c r="E29" s="17"/>
      <c r="F29" s="17"/>
      <c r="G29" s="17"/>
      <c r="H29" s="17"/>
    </row>
    <row r="30" spans="1:8" ht="15">
      <c r="A30" s="17"/>
      <c r="B30" s="17"/>
      <c r="C30" s="17"/>
      <c r="D30" s="17"/>
      <c r="E30" s="17"/>
      <c r="F30" s="17"/>
      <c r="G30" s="17"/>
      <c r="H30" s="17"/>
    </row>
  </sheetData>
  <sheetProtection/>
  <mergeCells count="19">
    <mergeCell ref="A29:H29"/>
    <mergeCell ref="A30:H30"/>
    <mergeCell ref="A8:H8"/>
    <mergeCell ref="A11:H11"/>
    <mergeCell ref="A28:H28"/>
    <mergeCell ref="A27:H27"/>
    <mergeCell ref="A20:H20"/>
    <mergeCell ref="A17:H17"/>
    <mergeCell ref="A23:H23"/>
    <mergeCell ref="A14:H14"/>
    <mergeCell ref="A6:A7"/>
    <mergeCell ref="B6:B7"/>
    <mergeCell ref="C6:F6"/>
    <mergeCell ref="G6:G7"/>
    <mergeCell ref="A1:H1"/>
    <mergeCell ref="A2:H2"/>
    <mergeCell ref="A3:H3"/>
    <mergeCell ref="A4:H4"/>
    <mergeCell ref="H6:H7"/>
  </mergeCells>
  <printOptions/>
  <pageMargins left="0.36" right="0.36" top="0.75" bottom="0.6"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3"/>
  <sheetViews>
    <sheetView zoomScaleSheetLayoutView="85" zoomScalePageLayoutView="0" workbookViewId="0" topLeftCell="A1">
      <selection activeCell="M15" sqref="M15"/>
    </sheetView>
  </sheetViews>
  <sheetFormatPr defaultColWidth="9.140625" defaultRowHeight="12.75"/>
  <cols>
    <col min="1" max="8" width="9.140625" style="3" customWidth="1"/>
    <col min="9" max="9" width="19.00390625" style="3" customWidth="1"/>
    <col min="10" max="16384" width="9.140625" style="3" customWidth="1"/>
  </cols>
  <sheetData>
    <row r="1" spans="1:9" ht="324.75" customHeight="1">
      <c r="A1" s="28" t="s">
        <v>33</v>
      </c>
      <c r="B1" s="28"/>
      <c r="C1" s="28"/>
      <c r="D1" s="28"/>
      <c r="E1" s="28"/>
      <c r="F1" s="28"/>
      <c r="G1" s="28"/>
      <c r="H1" s="28"/>
      <c r="I1" s="28"/>
    </row>
    <row r="2" spans="1:9" ht="368.25" customHeight="1">
      <c r="A2" s="29" t="s">
        <v>32</v>
      </c>
      <c r="B2" s="29"/>
      <c r="C2" s="29"/>
      <c r="D2" s="29"/>
      <c r="E2" s="29"/>
      <c r="F2" s="29"/>
      <c r="G2" s="29"/>
      <c r="H2" s="29"/>
      <c r="I2" s="29"/>
    </row>
    <row r="3" spans="1:9" ht="261" customHeight="1">
      <c r="A3" s="29" t="s">
        <v>0</v>
      </c>
      <c r="B3" s="29"/>
      <c r="C3" s="29"/>
      <c r="D3" s="29"/>
      <c r="E3" s="29"/>
      <c r="F3" s="29"/>
      <c r="G3" s="29"/>
      <c r="H3" s="29"/>
      <c r="I3" s="29"/>
    </row>
  </sheetData>
  <sheetProtection/>
  <mergeCells count="3">
    <mergeCell ref="A1:I1"/>
    <mergeCell ref="A2:I2"/>
    <mergeCell ref="A3:I3"/>
  </mergeCells>
  <printOptions/>
  <pageMargins left="0.81" right="0.32" top="0.58" bottom="0.48" header="0.5" footer="0.3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6"/>
  <sheetViews>
    <sheetView zoomScalePageLayoutView="0" workbookViewId="0" topLeftCell="A1">
      <selection activeCell="B10" sqref="B10"/>
    </sheetView>
  </sheetViews>
  <sheetFormatPr defaultColWidth="9.140625" defaultRowHeight="12.75"/>
  <cols>
    <col min="1" max="1" width="5.140625" style="1" customWidth="1"/>
    <col min="2" max="2" width="49.8515625" style="1" customWidth="1"/>
    <col min="3" max="6" width="12.8515625" style="1" customWidth="1"/>
    <col min="7" max="8" width="17.7109375" style="1" customWidth="1"/>
    <col min="9" max="9" width="9.7109375" style="9" customWidth="1"/>
    <col min="10" max="10" width="10.421875" style="9" customWidth="1"/>
    <col min="11" max="11" width="9.140625" style="12" customWidth="1"/>
    <col min="12" max="16384" width="9.140625" style="1" customWidth="1"/>
  </cols>
  <sheetData>
    <row r="1" spans="1:8" ht="22.5" customHeight="1">
      <c r="A1" s="21" t="s">
        <v>34</v>
      </c>
      <c r="B1" s="21"/>
      <c r="C1" s="21"/>
      <c r="D1" s="21"/>
      <c r="E1" s="21"/>
      <c r="F1" s="21"/>
      <c r="G1" s="21"/>
      <c r="H1" s="21"/>
    </row>
    <row r="2" spans="1:8" ht="22.5" customHeight="1">
      <c r="A2" s="21" t="s">
        <v>35</v>
      </c>
      <c r="B2" s="21"/>
      <c r="C2" s="21"/>
      <c r="D2" s="21"/>
      <c r="E2" s="21"/>
      <c r="F2" s="21"/>
      <c r="G2" s="21"/>
      <c r="H2" s="21"/>
    </row>
    <row r="3" spans="1:8" ht="36.75" customHeight="1">
      <c r="A3" s="22" t="s">
        <v>36</v>
      </c>
      <c r="B3" s="22"/>
      <c r="C3" s="22"/>
      <c r="D3" s="22"/>
      <c r="E3" s="22"/>
      <c r="F3" s="22"/>
      <c r="G3" s="22"/>
      <c r="H3" s="22"/>
    </row>
    <row r="4" spans="1:8" ht="15">
      <c r="A4" s="22" t="s">
        <v>48</v>
      </c>
      <c r="B4" s="22"/>
      <c r="C4" s="22"/>
      <c r="D4" s="22"/>
      <c r="E4" s="22"/>
      <c r="F4" s="22"/>
      <c r="G4" s="22"/>
      <c r="H4" s="22"/>
    </row>
    <row r="5" spans="1:8" ht="26.25">
      <c r="A5" s="2"/>
      <c r="B5" s="2"/>
      <c r="C5" s="2"/>
      <c r="D5" s="2"/>
      <c r="E5" s="2"/>
      <c r="F5" s="2"/>
      <c r="G5" s="14" t="s">
        <v>46</v>
      </c>
      <c r="H5" s="2"/>
    </row>
    <row r="6" spans="1:8" ht="40.5" customHeight="1">
      <c r="A6" s="23" t="s">
        <v>1</v>
      </c>
      <c r="B6" s="23" t="s">
        <v>7</v>
      </c>
      <c r="C6" s="25" t="s">
        <v>44</v>
      </c>
      <c r="D6" s="26"/>
      <c r="E6" s="26"/>
      <c r="F6" s="27"/>
      <c r="G6" s="23" t="s">
        <v>15</v>
      </c>
      <c r="H6" s="23" t="s">
        <v>8</v>
      </c>
    </row>
    <row r="7" spans="1:9" ht="26.25">
      <c r="A7" s="24"/>
      <c r="B7" s="24"/>
      <c r="C7" s="4" t="s">
        <v>3</v>
      </c>
      <c r="D7" s="4" t="s">
        <v>5</v>
      </c>
      <c r="E7" s="4" t="s">
        <v>4</v>
      </c>
      <c r="F7" s="4" t="s">
        <v>2</v>
      </c>
      <c r="G7" s="24"/>
      <c r="H7" s="24"/>
      <c r="I7" s="9" t="s">
        <v>28</v>
      </c>
    </row>
    <row r="8" spans="1:8" ht="15">
      <c r="A8" s="18" t="s">
        <v>17</v>
      </c>
      <c r="B8" s="19"/>
      <c r="C8" s="19"/>
      <c r="D8" s="19"/>
      <c r="E8" s="19"/>
      <c r="F8" s="19"/>
      <c r="G8" s="19"/>
      <c r="H8" s="20"/>
    </row>
    <row r="9" spans="1:10" ht="15">
      <c r="A9" s="4">
        <v>1</v>
      </c>
      <c r="B9" s="5" t="s">
        <v>43</v>
      </c>
      <c r="C9" s="6">
        <f>4300+126+500</f>
        <v>4926</v>
      </c>
      <c r="D9" s="6"/>
      <c r="E9" s="6"/>
      <c r="F9" s="6"/>
      <c r="G9" s="6">
        <f>0+1728.08+99.98+461.28+282.01+158.42+214.44</f>
        <v>2944.2100000000005</v>
      </c>
      <c r="H9" s="6">
        <f>C9+D9+E9+F9-G9</f>
        <v>1981.7899999999995</v>
      </c>
      <c r="I9" s="9">
        <f>0+2059.56+121.2+533.52+386.16+307.44+268.8</f>
        <v>3676.68</v>
      </c>
      <c r="J9" s="11">
        <f>C9-I9</f>
        <v>1249.3200000000002</v>
      </c>
    </row>
    <row r="10" spans="1:10" ht="15">
      <c r="A10" s="4">
        <v>2</v>
      </c>
      <c r="B10" s="5" t="s">
        <v>12</v>
      </c>
      <c r="C10" s="6"/>
      <c r="D10" s="6"/>
      <c r="E10" s="6">
        <v>1170</v>
      </c>
      <c r="F10" s="6"/>
      <c r="G10" s="6">
        <f>304.85+237.99</f>
        <v>542.84</v>
      </c>
      <c r="H10" s="6">
        <f>C10+D10+E10+F10-G10</f>
        <v>627.16</v>
      </c>
      <c r="I10" s="10">
        <f>550+365</f>
        <v>915</v>
      </c>
      <c r="J10" s="11">
        <f>E10-I10</f>
        <v>255</v>
      </c>
    </row>
    <row r="11" spans="1:8" ht="15">
      <c r="A11" s="18" t="s">
        <v>18</v>
      </c>
      <c r="B11" s="19"/>
      <c r="C11" s="19"/>
      <c r="D11" s="19"/>
      <c r="E11" s="19"/>
      <c r="F11" s="19"/>
      <c r="G11" s="19"/>
      <c r="H11" s="20"/>
    </row>
    <row r="12" spans="1:10" ht="15">
      <c r="A12" s="4">
        <v>1</v>
      </c>
      <c r="B12" s="5" t="s">
        <v>43</v>
      </c>
      <c r="C12" s="6">
        <f>4300+126+500</f>
        <v>4926</v>
      </c>
      <c r="D12" s="6"/>
      <c r="E12" s="6"/>
      <c r="F12" s="6"/>
      <c r="G12" s="6">
        <f>0+1784.59+141.67+480.96+316.08+220.66+184.4</f>
        <v>3128.3599999999997</v>
      </c>
      <c r="H12" s="6">
        <f>C12+D12+E12+F12-G12</f>
        <v>1797.6400000000003</v>
      </c>
      <c r="I12" s="9">
        <f>0+2083+204+698.2+396.5+339.8+251.8</f>
        <v>3973.3</v>
      </c>
      <c r="J12" s="11">
        <f>C12-I12</f>
        <v>952.6999999999998</v>
      </c>
    </row>
    <row r="13" spans="1:10" ht="15">
      <c r="A13" s="4">
        <v>2</v>
      </c>
      <c r="B13" s="5" t="s">
        <v>12</v>
      </c>
      <c r="C13" s="6"/>
      <c r="D13" s="6"/>
      <c r="E13" s="6">
        <v>1170</v>
      </c>
      <c r="F13" s="6"/>
      <c r="G13" s="6">
        <f>492.186+340.338</f>
        <v>832.524</v>
      </c>
      <c r="H13" s="6">
        <f>C13+D13+E13+F13-G13</f>
        <v>337.476</v>
      </c>
      <c r="I13" s="10">
        <f>519.2+357</f>
        <v>876.2</v>
      </c>
      <c r="J13" s="11">
        <f>E13-I13</f>
        <v>293.79999999999995</v>
      </c>
    </row>
    <row r="14" spans="1:8" ht="15">
      <c r="A14" s="18" t="s">
        <v>19</v>
      </c>
      <c r="B14" s="19"/>
      <c r="C14" s="19"/>
      <c r="D14" s="19"/>
      <c r="E14" s="19"/>
      <c r="F14" s="19"/>
      <c r="G14" s="19"/>
      <c r="H14" s="20"/>
    </row>
    <row r="15" spans="1:10" ht="15">
      <c r="A15" s="4">
        <v>1</v>
      </c>
      <c r="B15" s="5" t="s">
        <v>43</v>
      </c>
      <c r="C15" s="6">
        <f>4300+126+500+703</f>
        <v>5629</v>
      </c>
      <c r="D15" s="6"/>
      <c r="E15" s="6"/>
      <c r="F15" s="6"/>
      <c r="G15" s="6">
        <f>0+1388.85+185.64+336.5+290.06+213.13+207.2</f>
        <v>2621.3799999999997</v>
      </c>
      <c r="H15" s="6">
        <f>C15+D15+E15+F15-G15</f>
        <v>3007.6200000000003</v>
      </c>
      <c r="I15" s="9">
        <f>0+2046.96+259.68+502.8+372.96+306.72+255.36</f>
        <v>3744.48</v>
      </c>
      <c r="J15" s="11">
        <f>C15-I15</f>
        <v>1884.52</v>
      </c>
    </row>
    <row r="16" spans="1:10" ht="15">
      <c r="A16" s="4">
        <v>2</v>
      </c>
      <c r="B16" s="5" t="s">
        <v>12</v>
      </c>
      <c r="C16" s="6"/>
      <c r="D16" s="6"/>
      <c r="E16" s="6">
        <v>1170</v>
      </c>
      <c r="F16" s="6"/>
      <c r="G16" s="6">
        <f>468.94+323.35</f>
        <v>792.29</v>
      </c>
      <c r="H16" s="6">
        <f>C16+D16+E16+F16-G16</f>
        <v>377.71000000000004</v>
      </c>
      <c r="I16" s="10">
        <f>513.4+351.8</f>
        <v>865.2</v>
      </c>
      <c r="J16" s="11">
        <f>E16-I16</f>
        <v>304.79999999999995</v>
      </c>
    </row>
    <row r="17" spans="1:8" ht="15">
      <c r="A17" s="18" t="s">
        <v>20</v>
      </c>
      <c r="B17" s="19"/>
      <c r="C17" s="19"/>
      <c r="D17" s="19"/>
      <c r="E17" s="19"/>
      <c r="F17" s="19"/>
      <c r="G17" s="19"/>
      <c r="H17" s="20"/>
    </row>
    <row r="18" spans="1:10" ht="15.75" customHeight="1">
      <c r="A18" s="4">
        <v>1</v>
      </c>
      <c r="B18" s="5" t="s">
        <v>43</v>
      </c>
      <c r="C18" s="6">
        <f>4300+126+500+703</f>
        <v>5629</v>
      </c>
      <c r="D18" s="6"/>
      <c r="E18" s="6"/>
      <c r="F18" s="6"/>
      <c r="G18" s="6">
        <f>0+1315.19+203.52+422.9+252.42+200.46+192.93</f>
        <v>2587.42</v>
      </c>
      <c r="H18" s="6">
        <f>C18+D18+E18+F18-G18</f>
        <v>3041.58</v>
      </c>
      <c r="I18" s="10">
        <f>0+2091.6+261.4+512.6+346.3+328.1+261.6</f>
        <v>3801.6</v>
      </c>
      <c r="J18" s="11">
        <f>C18-I18</f>
        <v>1827.4</v>
      </c>
    </row>
    <row r="19" spans="1:10" ht="15">
      <c r="A19" s="4">
        <v>2</v>
      </c>
      <c r="B19" s="5" t="s">
        <v>12</v>
      </c>
      <c r="C19" s="6"/>
      <c r="D19" s="6"/>
      <c r="E19" s="6">
        <v>1170</v>
      </c>
      <c r="F19" s="6"/>
      <c r="G19" s="6">
        <f>283.13+198.64</f>
        <v>481.77</v>
      </c>
      <c r="H19" s="6">
        <f>C19+D19+E19+F19-G19</f>
        <v>688.23</v>
      </c>
      <c r="I19" s="10">
        <f>358.6+278.8</f>
        <v>637.4000000000001</v>
      </c>
      <c r="J19" s="11">
        <f>E19-I19</f>
        <v>532.5999999999999</v>
      </c>
    </row>
    <row r="20" spans="1:8" ht="15">
      <c r="A20" s="18" t="s">
        <v>21</v>
      </c>
      <c r="B20" s="19"/>
      <c r="C20" s="19"/>
      <c r="D20" s="19"/>
      <c r="E20" s="19"/>
      <c r="F20" s="19"/>
      <c r="G20" s="19"/>
      <c r="H20" s="20"/>
    </row>
    <row r="21" spans="1:10" ht="15">
      <c r="A21" s="4">
        <v>1</v>
      </c>
      <c r="B21" s="5" t="s">
        <v>43</v>
      </c>
      <c r="C21" s="6">
        <f>4300+126+500+703</f>
        <v>5629</v>
      </c>
      <c r="D21" s="6"/>
      <c r="E21" s="6"/>
      <c r="F21" s="6"/>
      <c r="G21" s="6">
        <f>0+1690.64+213.79+451.05+277.14+190.37+197.1</f>
        <v>3020.0899999999997</v>
      </c>
      <c r="H21" s="6">
        <f>C21+D21+E21+F21-G21</f>
        <v>2608.9100000000003</v>
      </c>
      <c r="I21" s="9">
        <f>2064.24+276.96+521.28+334.32+320.16+265.92</f>
        <v>3782.8799999999997</v>
      </c>
      <c r="J21" s="11">
        <f>C21-I21</f>
        <v>1846.1200000000003</v>
      </c>
    </row>
    <row r="22" spans="1:10" ht="15">
      <c r="A22" s="4">
        <v>2</v>
      </c>
      <c r="B22" s="5" t="s">
        <v>12</v>
      </c>
      <c r="C22" s="6"/>
      <c r="D22" s="6"/>
      <c r="E22" s="6">
        <v>1170</v>
      </c>
      <c r="F22" s="6"/>
      <c r="G22" s="6">
        <f>225.926+165.704</f>
        <v>391.63</v>
      </c>
      <c r="H22" s="6">
        <f>C22+D22+E22+F22-G22</f>
        <v>778.37</v>
      </c>
      <c r="I22" s="10">
        <f>383.8+277.4</f>
        <v>661.2</v>
      </c>
      <c r="J22" s="11">
        <f>E22-I22</f>
        <v>508.79999999999995</v>
      </c>
    </row>
    <row r="23" spans="1:10" ht="15">
      <c r="A23" s="18" t="s">
        <v>22</v>
      </c>
      <c r="B23" s="19"/>
      <c r="C23" s="19"/>
      <c r="D23" s="19"/>
      <c r="E23" s="19"/>
      <c r="F23" s="19"/>
      <c r="G23" s="19"/>
      <c r="H23" s="20"/>
      <c r="J23" s="11"/>
    </row>
    <row r="24" spans="1:10" ht="15.75" customHeight="1">
      <c r="A24" s="4">
        <v>1</v>
      </c>
      <c r="B24" s="5" t="s">
        <v>43</v>
      </c>
      <c r="C24" s="6">
        <f>4300+126+500+703</f>
        <v>5629</v>
      </c>
      <c r="D24" s="6"/>
      <c r="E24" s="6"/>
      <c r="F24" s="6"/>
      <c r="G24" s="6">
        <f>0+159.12+307.02+301.93+214.74+244.94+154.19</f>
        <v>1381.94</v>
      </c>
      <c r="H24" s="6">
        <f>C24+D24+E24+F24-G24</f>
        <v>4247.0599999999995</v>
      </c>
      <c r="I24" s="9">
        <f>0+780.12+581.04+510.96+289.92+382.56+276.96</f>
        <v>2821.56</v>
      </c>
      <c r="J24" s="11">
        <f>C24-I24</f>
        <v>2807.44</v>
      </c>
    </row>
    <row r="25" spans="1:10" ht="15">
      <c r="A25" s="4">
        <v>2</v>
      </c>
      <c r="B25" s="5" t="s">
        <v>12</v>
      </c>
      <c r="C25" s="6"/>
      <c r="D25" s="6"/>
      <c r="E25" s="6">
        <v>1170</v>
      </c>
      <c r="F25" s="6"/>
      <c r="G25" s="13">
        <f>478.02+573.62</f>
        <v>1051.6399999999999</v>
      </c>
      <c r="H25" s="6">
        <f>C25+D25+E25+F25-G25</f>
        <v>118.36000000000013</v>
      </c>
      <c r="I25" s="10">
        <f>506.8+681.2</f>
        <v>1188</v>
      </c>
      <c r="J25" s="11">
        <f>E25-I25</f>
        <v>-18</v>
      </c>
    </row>
    <row r="26" spans="1:8" ht="15">
      <c r="A26" s="18" t="s">
        <v>23</v>
      </c>
      <c r="B26" s="19"/>
      <c r="C26" s="19"/>
      <c r="D26" s="19"/>
      <c r="E26" s="19"/>
      <c r="F26" s="19"/>
      <c r="G26" s="19"/>
      <c r="H26" s="20"/>
    </row>
    <row r="27" spans="1:10" ht="15.75" customHeight="1">
      <c r="A27" s="4">
        <v>1</v>
      </c>
      <c r="B27" s="5" t="s">
        <v>43</v>
      </c>
      <c r="C27" s="6">
        <f>4300+126+500+703</f>
        <v>5629</v>
      </c>
      <c r="D27" s="6"/>
      <c r="E27" s="6"/>
      <c r="F27" s="6"/>
      <c r="G27" s="6">
        <f>0+662.14+220.92+293.27+206.36+235.83+206.97</f>
        <v>1825.49</v>
      </c>
      <c r="H27" s="6">
        <f>C27+D27+E27+F27-G27</f>
        <v>3803.51</v>
      </c>
      <c r="I27" s="9">
        <f>0+1960.2+300.2+466.8+264.24+347.04+286.8</f>
        <v>3625.2800000000007</v>
      </c>
      <c r="J27" s="11">
        <f>C27-I27</f>
        <v>2003.7199999999993</v>
      </c>
    </row>
    <row r="28" spans="1:10" ht="15">
      <c r="A28" s="4">
        <v>2</v>
      </c>
      <c r="B28" s="5" t="s">
        <v>12</v>
      </c>
      <c r="C28" s="6"/>
      <c r="D28" s="6"/>
      <c r="E28" s="6">
        <v>1170</v>
      </c>
      <c r="F28" s="6"/>
      <c r="G28" s="13">
        <f>313.22+319.22</f>
        <v>632.44</v>
      </c>
      <c r="H28" s="6">
        <f>C28+D28+E28+F28-G28</f>
        <v>537.56</v>
      </c>
      <c r="I28" s="10"/>
      <c r="J28" s="11">
        <f>E28-I28</f>
        <v>1170</v>
      </c>
    </row>
    <row r="29" spans="1:8" ht="15">
      <c r="A29" s="18" t="s">
        <v>24</v>
      </c>
      <c r="B29" s="19"/>
      <c r="C29" s="19"/>
      <c r="D29" s="19"/>
      <c r="E29" s="19"/>
      <c r="F29" s="19"/>
      <c r="G29" s="19"/>
      <c r="H29" s="20"/>
    </row>
    <row r="30" spans="1:10" ht="15.75" customHeight="1">
      <c r="A30" s="4">
        <v>1</v>
      </c>
      <c r="B30" s="5" t="s">
        <v>43</v>
      </c>
      <c r="C30" s="6">
        <f>4300+126+500+703</f>
        <v>5629</v>
      </c>
      <c r="D30" s="6"/>
      <c r="E30" s="6"/>
      <c r="F30" s="6"/>
      <c r="G30" s="6">
        <f>0+801.49+206.55+242.31+207.89+148.53+224.14</f>
        <v>1830.9099999999999</v>
      </c>
      <c r="H30" s="6">
        <f>C30+D30+E30+F30-G30</f>
        <v>3798.09</v>
      </c>
      <c r="I30" s="9">
        <f>0+1981.8+299.28+364.56+259.68+336.48+272.88</f>
        <v>3514.68</v>
      </c>
      <c r="J30" s="11">
        <f>C30-I30</f>
        <v>2114.32</v>
      </c>
    </row>
    <row r="31" spans="1:10" ht="15.75" customHeight="1">
      <c r="A31" s="4">
        <v>2</v>
      </c>
      <c r="B31" s="5" t="s">
        <v>12</v>
      </c>
      <c r="C31" s="6"/>
      <c r="D31" s="6"/>
      <c r="E31" s="6">
        <v>1170</v>
      </c>
      <c r="F31" s="6"/>
      <c r="G31" s="6">
        <f>316.35+319.38</f>
        <v>635.73</v>
      </c>
      <c r="H31" s="6">
        <f>C31+D31+E31+F31-G31</f>
        <v>534.27</v>
      </c>
      <c r="J31" s="11">
        <f>E31-I31</f>
        <v>1170</v>
      </c>
    </row>
    <row r="32" spans="1:8" ht="15">
      <c r="A32" s="18" t="s">
        <v>9</v>
      </c>
      <c r="B32" s="19"/>
      <c r="C32" s="19"/>
      <c r="D32" s="19"/>
      <c r="E32" s="19"/>
      <c r="F32" s="19"/>
      <c r="G32" s="19"/>
      <c r="H32" s="20"/>
    </row>
    <row r="33" spans="1:10" ht="15">
      <c r="A33" s="4">
        <v>1</v>
      </c>
      <c r="B33" s="5" t="s">
        <v>43</v>
      </c>
      <c r="C33" s="6">
        <f>4300+126+500+703</f>
        <v>5629</v>
      </c>
      <c r="D33" s="6"/>
      <c r="E33" s="6"/>
      <c r="F33" s="6"/>
      <c r="G33" s="6">
        <f>0+43.24+180.94+332.39+164.21+103.9+230.42</f>
        <v>1055.1</v>
      </c>
      <c r="H33" s="6">
        <f>C33+D33+E33+F33-G33</f>
        <v>4573.9</v>
      </c>
      <c r="I33" s="9">
        <f>0+86.76+253.44+437.04+221.52+148.56+286.08</f>
        <v>1433.3999999999999</v>
      </c>
      <c r="J33" s="11">
        <f>C33-I33</f>
        <v>4195.6</v>
      </c>
    </row>
    <row r="34" spans="1:10" ht="15.75" customHeight="1">
      <c r="A34" s="4">
        <v>2</v>
      </c>
      <c r="B34" s="5" t="s">
        <v>12</v>
      </c>
      <c r="C34" s="6"/>
      <c r="D34" s="6"/>
      <c r="E34" s="6">
        <v>1170</v>
      </c>
      <c r="F34" s="6"/>
      <c r="G34" s="6">
        <f>504.65+536.8</f>
        <v>1041.4499999999998</v>
      </c>
      <c r="H34" s="6">
        <f>C34+D34+E34+F34-G34</f>
        <v>128.55000000000018</v>
      </c>
      <c r="I34" s="9">
        <f>513.65+637.4</f>
        <v>1151.05</v>
      </c>
      <c r="J34" s="11">
        <f>E34-I34</f>
        <v>18.950000000000045</v>
      </c>
    </row>
    <row r="35" spans="1:8" ht="15">
      <c r="A35" s="18" t="s">
        <v>10</v>
      </c>
      <c r="B35" s="19"/>
      <c r="C35" s="19"/>
      <c r="D35" s="19"/>
      <c r="E35" s="19"/>
      <c r="F35" s="19"/>
      <c r="G35" s="19"/>
      <c r="H35" s="20"/>
    </row>
    <row r="36" spans="1:10" ht="15.75" customHeight="1">
      <c r="A36" s="4">
        <v>1</v>
      </c>
      <c r="B36" s="5" t="s">
        <v>43</v>
      </c>
      <c r="C36" s="6">
        <f>4300+126+500+703</f>
        <v>5629</v>
      </c>
      <c r="D36" s="6"/>
      <c r="E36" s="6"/>
      <c r="F36" s="6"/>
      <c r="G36" s="6">
        <f>0+1089.99+206.91+194.7+202.64+236.52+236.39</f>
        <v>2167.15</v>
      </c>
      <c r="H36" s="6">
        <f>C36+D36+E36+F36-G36</f>
        <v>3461.85</v>
      </c>
      <c r="I36" s="9">
        <f>0+1818.7+294.2+286.8+255.6+364.3+295.2</f>
        <v>3314.8</v>
      </c>
      <c r="J36" s="11">
        <f>C36-I36</f>
        <v>2314.2</v>
      </c>
    </row>
    <row r="37" spans="1:10" ht="15.75" customHeight="1">
      <c r="A37" s="4">
        <v>2</v>
      </c>
      <c r="B37" s="5" t="s">
        <v>12</v>
      </c>
      <c r="C37" s="6"/>
      <c r="D37" s="6"/>
      <c r="E37" s="6">
        <v>1170</v>
      </c>
      <c r="F37" s="6"/>
      <c r="G37" s="6">
        <f>485.48+421.26</f>
        <v>906.74</v>
      </c>
      <c r="H37" s="6">
        <f>C37+D37+E37+F37-G37</f>
        <v>263.26</v>
      </c>
      <c r="I37" s="9">
        <f>520.8+558</f>
        <v>1078.8</v>
      </c>
      <c r="J37" s="11">
        <f>E37-I37</f>
        <v>91.20000000000005</v>
      </c>
    </row>
    <row r="38" spans="1:8" ht="15">
      <c r="A38" s="18" t="s">
        <v>13</v>
      </c>
      <c r="B38" s="19"/>
      <c r="C38" s="19"/>
      <c r="D38" s="19"/>
      <c r="E38" s="19"/>
      <c r="F38" s="19"/>
      <c r="G38" s="19"/>
      <c r="H38" s="20"/>
    </row>
    <row r="39" spans="1:10" ht="15">
      <c r="A39" s="4">
        <v>1</v>
      </c>
      <c r="B39" s="5" t="s">
        <v>43</v>
      </c>
      <c r="C39" s="6">
        <f>4300+126+500+703</f>
        <v>5629</v>
      </c>
      <c r="D39" s="6"/>
      <c r="E39" s="6"/>
      <c r="F39" s="6"/>
      <c r="G39" s="6">
        <f>0+1251.04+289.37+350.83+239.72+207.96+255.34</f>
        <v>2594.2599999999998</v>
      </c>
      <c r="H39" s="6">
        <f>C39+D39+E39+F39-G39</f>
        <v>3034.7400000000002</v>
      </c>
      <c r="I39" s="9">
        <f>0+1936.08+348.24+511.68+315.12+386.64+314.16</f>
        <v>3811.919999999999</v>
      </c>
      <c r="J39" s="11">
        <f>C39-I39</f>
        <v>1817.0800000000008</v>
      </c>
    </row>
    <row r="40" spans="1:10" ht="15">
      <c r="A40" s="4">
        <v>2</v>
      </c>
      <c r="B40" s="5" t="s">
        <v>12</v>
      </c>
      <c r="C40" s="6"/>
      <c r="D40" s="6"/>
      <c r="E40" s="6">
        <v>1170</v>
      </c>
      <c r="F40" s="6"/>
      <c r="G40" s="6">
        <f>476.43+360.81</f>
        <v>837.24</v>
      </c>
      <c r="H40" s="6">
        <f>C40+D40+E40+F40-G40</f>
        <v>332.76</v>
      </c>
      <c r="I40" s="10">
        <f>539.2+376.6</f>
        <v>915.8000000000001</v>
      </c>
      <c r="J40" s="11">
        <f>E40-I40</f>
        <v>254.19999999999993</v>
      </c>
    </row>
    <row r="41" spans="1:8" ht="15">
      <c r="A41" s="18" t="s">
        <v>14</v>
      </c>
      <c r="B41" s="19"/>
      <c r="C41" s="19"/>
      <c r="D41" s="19"/>
      <c r="E41" s="19"/>
      <c r="F41" s="19"/>
      <c r="G41" s="19"/>
      <c r="H41" s="20"/>
    </row>
    <row r="42" spans="1:10" ht="15">
      <c r="A42" s="4">
        <v>1</v>
      </c>
      <c r="B42" s="5" t="s">
        <v>43</v>
      </c>
      <c r="C42" s="6">
        <f>4300+126+500+703</f>
        <v>5629</v>
      </c>
      <c r="D42" s="6"/>
      <c r="E42" s="6"/>
      <c r="F42" s="6"/>
      <c r="G42" s="6">
        <f>0+469.13+237.5+453.86+266.31+284.01+135.93</f>
        <v>1846.74</v>
      </c>
      <c r="H42" s="6">
        <f>C42+D42+E42+F42-G42</f>
        <v>3782.26</v>
      </c>
      <c r="I42" s="9">
        <f>0+1528.2+349.44+511.68+361.2+391.2+269.52</f>
        <v>3411.24</v>
      </c>
      <c r="J42" s="11">
        <f>C42-I42</f>
        <v>2217.76</v>
      </c>
    </row>
    <row r="43" spans="1:10" ht="15">
      <c r="A43" s="4">
        <v>2</v>
      </c>
      <c r="B43" s="5" t="s">
        <v>12</v>
      </c>
      <c r="C43" s="6"/>
      <c r="D43" s="6"/>
      <c r="E43" s="6">
        <v>1170</v>
      </c>
      <c r="F43" s="6"/>
      <c r="G43" s="6">
        <f>487.47+370.27</f>
        <v>857.74</v>
      </c>
      <c r="H43" s="6">
        <f>C43+D43+E43+F43-G43</f>
        <v>312.26</v>
      </c>
      <c r="I43" s="9">
        <f>514+382.2</f>
        <v>896.2</v>
      </c>
      <c r="J43" s="11">
        <f>E43-I43</f>
        <v>273.79999999999995</v>
      </c>
    </row>
    <row r="44" spans="1:8" ht="28.5" customHeight="1">
      <c r="A44" s="17" t="s">
        <v>16</v>
      </c>
      <c r="B44" s="17"/>
      <c r="C44" s="17"/>
      <c r="D44" s="17"/>
      <c r="E44" s="17"/>
      <c r="F44" s="17"/>
      <c r="G44" s="17"/>
      <c r="H44" s="17"/>
    </row>
    <row r="45" spans="1:8" ht="15" customHeight="1">
      <c r="A45" s="17" t="s">
        <v>37</v>
      </c>
      <c r="B45" s="17"/>
      <c r="C45" s="17"/>
      <c r="D45" s="17"/>
      <c r="E45" s="17"/>
      <c r="F45" s="17"/>
      <c r="G45" s="17"/>
      <c r="H45" s="17"/>
    </row>
    <row r="46" spans="1:8" ht="15">
      <c r="A46" s="17"/>
      <c r="B46" s="17"/>
      <c r="C46" s="17"/>
      <c r="D46" s="17"/>
      <c r="E46" s="17"/>
      <c r="F46" s="17"/>
      <c r="G46" s="17"/>
      <c r="H46" s="17"/>
    </row>
  </sheetData>
  <sheetProtection/>
  <mergeCells count="24">
    <mergeCell ref="A44:H44"/>
    <mergeCell ref="A45:H45"/>
    <mergeCell ref="A46:H46"/>
    <mergeCell ref="A26:H26"/>
    <mergeCell ref="A29:H29"/>
    <mergeCell ref="A32:H32"/>
    <mergeCell ref="A35:H35"/>
    <mergeCell ref="A38:H38"/>
    <mergeCell ref="A41:H41"/>
    <mergeCell ref="A8:H8"/>
    <mergeCell ref="A11:H11"/>
    <mergeCell ref="A14:H14"/>
    <mergeCell ref="A17:H17"/>
    <mergeCell ref="A20:H20"/>
    <mergeCell ref="A23:H23"/>
    <mergeCell ref="A1:H1"/>
    <mergeCell ref="A2:H2"/>
    <mergeCell ref="A3:H3"/>
    <mergeCell ref="A4:H4"/>
    <mergeCell ref="A6:A7"/>
    <mergeCell ref="B6:B7"/>
    <mergeCell ref="C6:F6"/>
    <mergeCell ref="G6:G7"/>
    <mergeCell ref="H6:H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6"/>
  <sheetViews>
    <sheetView zoomScalePageLayoutView="0" workbookViewId="0" topLeftCell="A21">
      <selection activeCell="C61" sqref="C61"/>
    </sheetView>
  </sheetViews>
  <sheetFormatPr defaultColWidth="9.140625" defaultRowHeight="12.75"/>
  <cols>
    <col min="1" max="1" width="5.140625" style="1" customWidth="1"/>
    <col min="2" max="2" width="49.8515625" style="1" customWidth="1"/>
    <col min="3" max="6" width="12.8515625" style="1" customWidth="1"/>
    <col min="7" max="8" width="17.7109375" style="1" customWidth="1"/>
    <col min="9" max="9" width="9.7109375" style="9" customWidth="1"/>
    <col min="10" max="10" width="10.421875" style="9" customWidth="1"/>
    <col min="11" max="11" width="9.140625" style="12" customWidth="1"/>
    <col min="12" max="16384" width="9.140625" style="1" customWidth="1"/>
  </cols>
  <sheetData>
    <row r="1" spans="1:8" ht="22.5" customHeight="1">
      <c r="A1" s="21" t="s">
        <v>34</v>
      </c>
      <c r="B1" s="21"/>
      <c r="C1" s="21"/>
      <c r="D1" s="21"/>
      <c r="E1" s="21"/>
      <c r="F1" s="21"/>
      <c r="G1" s="21"/>
      <c r="H1" s="21"/>
    </row>
    <row r="2" spans="1:8" ht="22.5" customHeight="1">
      <c r="A2" s="21" t="s">
        <v>35</v>
      </c>
      <c r="B2" s="21"/>
      <c r="C2" s="21"/>
      <c r="D2" s="21"/>
      <c r="E2" s="21"/>
      <c r="F2" s="21"/>
      <c r="G2" s="21"/>
      <c r="H2" s="21"/>
    </row>
    <row r="3" spans="1:8" ht="36.75" customHeight="1">
      <c r="A3" s="22" t="s">
        <v>36</v>
      </c>
      <c r="B3" s="22"/>
      <c r="C3" s="22"/>
      <c r="D3" s="22"/>
      <c r="E3" s="22"/>
      <c r="F3" s="22"/>
      <c r="G3" s="22"/>
      <c r="H3" s="22"/>
    </row>
    <row r="4" spans="1:8" ht="15">
      <c r="A4" s="22" t="s">
        <v>47</v>
      </c>
      <c r="B4" s="22"/>
      <c r="C4" s="22"/>
      <c r="D4" s="22"/>
      <c r="E4" s="22"/>
      <c r="F4" s="22"/>
      <c r="G4" s="22"/>
      <c r="H4" s="22"/>
    </row>
    <row r="5" spans="1:8" ht="26.25">
      <c r="A5" s="2"/>
      <c r="B5" s="2"/>
      <c r="C5" s="2"/>
      <c r="D5" s="2"/>
      <c r="E5" s="2"/>
      <c r="F5" s="2"/>
      <c r="G5" s="14" t="s">
        <v>46</v>
      </c>
      <c r="H5" s="2"/>
    </row>
    <row r="6" spans="1:8" ht="40.5" customHeight="1">
      <c r="A6" s="23" t="s">
        <v>1</v>
      </c>
      <c r="B6" s="23" t="s">
        <v>7</v>
      </c>
      <c r="C6" s="25" t="s">
        <v>44</v>
      </c>
      <c r="D6" s="26"/>
      <c r="E6" s="26"/>
      <c r="F6" s="27"/>
      <c r="G6" s="23" t="s">
        <v>15</v>
      </c>
      <c r="H6" s="23" t="s">
        <v>8</v>
      </c>
    </row>
    <row r="7" spans="1:9" ht="26.25">
      <c r="A7" s="24"/>
      <c r="B7" s="24"/>
      <c r="C7" s="4" t="s">
        <v>3</v>
      </c>
      <c r="D7" s="4" t="s">
        <v>5</v>
      </c>
      <c r="E7" s="4" t="s">
        <v>4</v>
      </c>
      <c r="F7" s="4" t="s">
        <v>2</v>
      </c>
      <c r="G7" s="24"/>
      <c r="H7" s="24"/>
      <c r="I7" s="9" t="s">
        <v>28</v>
      </c>
    </row>
    <row r="8" spans="1:8" ht="15">
      <c r="A8" s="18" t="s">
        <v>17</v>
      </c>
      <c r="B8" s="19"/>
      <c r="C8" s="19"/>
      <c r="D8" s="19"/>
      <c r="E8" s="19"/>
      <c r="F8" s="19"/>
      <c r="G8" s="19"/>
      <c r="H8" s="20"/>
    </row>
    <row r="9" spans="1:10" ht="15">
      <c r="A9" s="4">
        <v>1</v>
      </c>
      <c r="B9" s="5" t="s">
        <v>43</v>
      </c>
      <c r="C9" s="6">
        <f>4300+126+500</f>
        <v>4926</v>
      </c>
      <c r="D9" s="6"/>
      <c r="E9" s="6"/>
      <c r="F9" s="6"/>
      <c r="G9" s="6">
        <f>0+826.58+89.7+462.29+258.43+124.06</f>
        <v>1761.0600000000002</v>
      </c>
      <c r="H9" s="6">
        <f>C9+D9+E9+F9-G9</f>
        <v>3164.9399999999996</v>
      </c>
      <c r="I9" s="9">
        <f>0+2018.88+109.2+544.56+363.84+164.88</f>
        <v>3201.36</v>
      </c>
      <c r="J9" s="11">
        <f>C9-I9</f>
        <v>1724.6399999999999</v>
      </c>
    </row>
    <row r="10" spans="1:10" ht="15">
      <c r="A10" s="4">
        <v>2</v>
      </c>
      <c r="B10" s="5" t="s">
        <v>12</v>
      </c>
      <c r="C10" s="6"/>
      <c r="D10" s="6"/>
      <c r="E10" s="6">
        <v>1170</v>
      </c>
      <c r="F10" s="6"/>
      <c r="G10" s="6">
        <f>505+354.39</f>
        <v>859.39</v>
      </c>
      <c r="H10" s="6">
        <f>C10+D10+E10+F10-G10</f>
        <v>310.61</v>
      </c>
      <c r="I10" s="10">
        <f>534.2+367.8</f>
        <v>902</v>
      </c>
      <c r="J10" s="11">
        <f>E10-I10</f>
        <v>268</v>
      </c>
    </row>
    <row r="11" spans="1:8" ht="15">
      <c r="A11" s="18" t="s">
        <v>18</v>
      </c>
      <c r="B11" s="19"/>
      <c r="C11" s="19"/>
      <c r="D11" s="19"/>
      <c r="E11" s="19"/>
      <c r="F11" s="19"/>
      <c r="G11" s="19"/>
      <c r="H11" s="20"/>
    </row>
    <row r="12" spans="1:10" ht="15">
      <c r="A12" s="4">
        <v>1</v>
      </c>
      <c r="B12" s="5" t="s">
        <v>43</v>
      </c>
      <c r="C12" s="6">
        <f>4300+126+500</f>
        <v>4926</v>
      </c>
      <c r="D12" s="6"/>
      <c r="E12" s="6"/>
      <c r="F12" s="6"/>
      <c r="G12" s="6">
        <f>0+1124.01+88.65+438.62+242.78+107.23</f>
        <v>2001.2900000000002</v>
      </c>
      <c r="H12" s="6">
        <f>C12+D12+E12+F12-G12</f>
        <v>2924.71</v>
      </c>
      <c r="I12" s="9">
        <f>0+1942.2+110.64+535.92+315.6+133.92</f>
        <v>3038.28</v>
      </c>
      <c r="J12" s="11">
        <f>C12-I12</f>
        <v>1887.7199999999998</v>
      </c>
    </row>
    <row r="13" spans="1:10" ht="15">
      <c r="A13" s="4">
        <v>2</v>
      </c>
      <c r="B13" s="5" t="s">
        <v>12</v>
      </c>
      <c r="C13" s="6"/>
      <c r="D13" s="6"/>
      <c r="E13" s="6">
        <v>1170</v>
      </c>
      <c r="F13" s="6"/>
      <c r="G13" s="6">
        <f>479.94+338.26</f>
        <v>818.2</v>
      </c>
      <c r="H13" s="6">
        <f>C13+D13+E13+F13-G13</f>
        <v>351.79999999999995</v>
      </c>
      <c r="I13" s="10">
        <f>525.8+362.2</f>
        <v>888</v>
      </c>
      <c r="J13" s="11">
        <f>E13-I13</f>
        <v>282</v>
      </c>
    </row>
    <row r="14" spans="1:8" ht="15">
      <c r="A14" s="18" t="s">
        <v>19</v>
      </c>
      <c r="B14" s="19"/>
      <c r="C14" s="19"/>
      <c r="D14" s="19"/>
      <c r="E14" s="19"/>
      <c r="F14" s="19"/>
      <c r="G14" s="19"/>
      <c r="H14" s="20"/>
    </row>
    <row r="15" spans="1:10" ht="15">
      <c r="A15" s="4">
        <v>1</v>
      </c>
      <c r="B15" s="5" t="s">
        <v>43</v>
      </c>
      <c r="C15" s="6">
        <f>4300+126+500+703</f>
        <v>5629</v>
      </c>
      <c r="D15" s="6"/>
      <c r="E15" s="6"/>
      <c r="F15" s="6"/>
      <c r="G15" s="6">
        <f>0+957.36+93.58+436.18+253.72+108.93+28.44</f>
        <v>1878.2100000000003</v>
      </c>
      <c r="H15" s="6">
        <f>C15+D15+E15+F15-G15</f>
        <v>3750.79</v>
      </c>
      <c r="I15" s="9">
        <f>0+1961.6+114.48+546.72+295.44+152.16+201.12</f>
        <v>3271.52</v>
      </c>
      <c r="J15" s="11">
        <f>C15-I15</f>
        <v>2357.48</v>
      </c>
    </row>
    <row r="16" spans="1:10" ht="15">
      <c r="A16" s="4">
        <v>2</v>
      </c>
      <c r="B16" s="5" t="s">
        <v>12</v>
      </c>
      <c r="C16" s="6"/>
      <c r="D16" s="6"/>
      <c r="E16" s="6">
        <v>1170</v>
      </c>
      <c r="F16" s="6"/>
      <c r="G16" s="6">
        <f>490.26+346</f>
        <v>836.26</v>
      </c>
      <c r="H16" s="6">
        <f>C16+D16+E16+F16-G16</f>
        <v>333.74</v>
      </c>
      <c r="I16" s="10">
        <f>504+364</f>
        <v>868</v>
      </c>
      <c r="J16" s="11">
        <f>E16-I16</f>
        <v>302</v>
      </c>
    </row>
    <row r="17" spans="1:8" ht="15">
      <c r="A17" s="18" t="s">
        <v>20</v>
      </c>
      <c r="B17" s="19"/>
      <c r="C17" s="19"/>
      <c r="D17" s="19"/>
      <c r="E17" s="19"/>
      <c r="F17" s="19"/>
      <c r="G17" s="19"/>
      <c r="H17" s="20"/>
    </row>
    <row r="18" spans="1:10" ht="15.75" customHeight="1">
      <c r="A18" s="4">
        <v>1</v>
      </c>
      <c r="B18" s="5" t="s">
        <v>43</v>
      </c>
      <c r="C18" s="6">
        <f>4300+126+500+703</f>
        <v>5629</v>
      </c>
      <c r="D18" s="6"/>
      <c r="E18" s="6"/>
      <c r="F18" s="6"/>
      <c r="G18" s="6">
        <f>0+1654.8+93.58+415.92+246.82+79.07+124.9</f>
        <v>2615.09</v>
      </c>
      <c r="H18" s="6">
        <f>C18+D18+E18+F18-G18</f>
        <v>3013.91</v>
      </c>
      <c r="I18" s="10">
        <f>1971.72+111.6+491.76+306.96+113.04+211.92</f>
        <v>3207</v>
      </c>
      <c r="J18" s="11">
        <f>C18-I18</f>
        <v>2422</v>
      </c>
    </row>
    <row r="19" spans="1:10" ht="15">
      <c r="A19" s="4">
        <v>2</v>
      </c>
      <c r="B19" s="5" t="s">
        <v>12</v>
      </c>
      <c r="C19" s="6"/>
      <c r="D19" s="6"/>
      <c r="E19" s="6">
        <v>1170</v>
      </c>
      <c r="F19" s="6"/>
      <c r="G19" s="6">
        <f>481.67+375.03</f>
        <v>856.7</v>
      </c>
      <c r="H19" s="6">
        <f>C19+D19+E19+F19-G19</f>
        <v>313.29999999999995</v>
      </c>
      <c r="I19" s="10">
        <f>500+647</f>
        <v>1147</v>
      </c>
      <c r="J19" s="11">
        <f>E19-I19</f>
        <v>23</v>
      </c>
    </row>
    <row r="20" spans="1:8" ht="15">
      <c r="A20" s="18" t="s">
        <v>21</v>
      </c>
      <c r="B20" s="19"/>
      <c r="C20" s="19"/>
      <c r="D20" s="19"/>
      <c r="E20" s="19"/>
      <c r="F20" s="19"/>
      <c r="G20" s="19"/>
      <c r="H20" s="20"/>
    </row>
    <row r="21" spans="1:10" ht="15">
      <c r="A21" s="4">
        <v>1</v>
      </c>
      <c r="B21" s="5" t="s">
        <v>43</v>
      </c>
      <c r="C21" s="6">
        <f>4300+126+500+703</f>
        <v>5629</v>
      </c>
      <c r="D21" s="6"/>
      <c r="E21" s="6"/>
      <c r="F21" s="6"/>
      <c r="G21" s="6">
        <f>0+1191.07+95.03+403.7+207.72+73.35+110.93</f>
        <v>2081.7999999999997</v>
      </c>
      <c r="H21" s="6">
        <f>C21+D21+E21+F21-G21</f>
        <v>3547.2000000000003</v>
      </c>
      <c r="I21" s="9">
        <f>0+2003.4+125.04+463.2+263.52+100.56+200.16</f>
        <v>3155.8799999999997</v>
      </c>
      <c r="J21" s="11">
        <f>C21-I21</f>
        <v>2473.1200000000003</v>
      </c>
    </row>
    <row r="22" spans="1:10" ht="15">
      <c r="A22" s="4">
        <v>2</v>
      </c>
      <c r="B22" s="5" t="s">
        <v>12</v>
      </c>
      <c r="C22" s="6"/>
      <c r="D22" s="6"/>
      <c r="E22" s="6">
        <v>1170</v>
      </c>
      <c r="F22" s="6"/>
      <c r="G22" s="6">
        <f>491.97+543.23</f>
        <v>1035.2</v>
      </c>
      <c r="H22" s="6">
        <f>C22+D22+E22+F22-G22</f>
        <v>134.79999999999995</v>
      </c>
      <c r="I22" s="10">
        <f>517+716</f>
        <v>1233</v>
      </c>
      <c r="J22" s="11">
        <f>E22-I22</f>
        <v>-63</v>
      </c>
    </row>
    <row r="23" spans="1:10" ht="15">
      <c r="A23" s="18" t="s">
        <v>22</v>
      </c>
      <c r="B23" s="19"/>
      <c r="C23" s="19"/>
      <c r="D23" s="19"/>
      <c r="E23" s="19"/>
      <c r="F23" s="19"/>
      <c r="G23" s="19"/>
      <c r="H23" s="20"/>
      <c r="J23" s="11"/>
    </row>
    <row r="24" spans="1:10" ht="15.75" customHeight="1">
      <c r="A24" s="4">
        <v>1</v>
      </c>
      <c r="B24" s="5" t="s">
        <v>43</v>
      </c>
      <c r="C24" s="6">
        <f>4300+126+500+703</f>
        <v>5629</v>
      </c>
      <c r="D24" s="6"/>
      <c r="E24" s="6"/>
      <c r="F24" s="6"/>
      <c r="G24" s="6">
        <f>0+1767.84+103.16+297.43+211.83+77.41+143.63</f>
        <v>2601.2999999999997</v>
      </c>
      <c r="H24" s="6">
        <f>C24+D24+E24+F24-G24</f>
        <v>3027.7000000000003</v>
      </c>
      <c r="I24" s="9">
        <f>0+2002.68+132.72+453.6+264.24+111.36+201.6</f>
        <v>3166.2</v>
      </c>
      <c r="J24" s="11">
        <f>C24-I24</f>
        <v>2462.8</v>
      </c>
    </row>
    <row r="25" spans="1:10" ht="15">
      <c r="A25" s="4">
        <v>2</v>
      </c>
      <c r="B25" s="5" t="s">
        <v>12</v>
      </c>
      <c r="C25" s="6"/>
      <c r="D25" s="6"/>
      <c r="E25" s="6">
        <v>1170</v>
      </c>
      <c r="F25" s="6"/>
      <c r="G25" s="13">
        <f>438.36+585.1</f>
        <v>1023.46</v>
      </c>
      <c r="H25" s="6">
        <f>C25+D25+E25+F25-G25</f>
        <v>146.53999999999996</v>
      </c>
      <c r="I25" s="10">
        <f>509.6+765.8</f>
        <v>1275.4</v>
      </c>
      <c r="J25" s="11">
        <f>E25-I25</f>
        <v>-105.40000000000009</v>
      </c>
    </row>
    <row r="26" spans="1:8" ht="15">
      <c r="A26" s="18" t="s">
        <v>23</v>
      </c>
      <c r="B26" s="19"/>
      <c r="C26" s="19"/>
      <c r="D26" s="19"/>
      <c r="E26" s="19"/>
      <c r="F26" s="19"/>
      <c r="G26" s="19"/>
      <c r="H26" s="20"/>
    </row>
    <row r="27" spans="1:10" ht="15.75" customHeight="1">
      <c r="A27" s="4">
        <v>1</v>
      </c>
      <c r="B27" s="5" t="s">
        <v>43</v>
      </c>
      <c r="C27" s="6">
        <f>4300+126+500+703</f>
        <v>5629</v>
      </c>
      <c r="D27" s="6"/>
      <c r="E27" s="6"/>
      <c r="F27" s="6"/>
      <c r="G27" s="6">
        <f>0+1684.78+101.27+337.67+207.84+71.86+170.25</f>
        <v>2573.67</v>
      </c>
      <c r="H27" s="6">
        <f>C27+D27+E27+F27-G27</f>
        <v>3055.33</v>
      </c>
      <c r="I27" s="9">
        <f>0+2067.48+151.92+470.4+267.84+102.48+210.24</f>
        <v>3270.3600000000006</v>
      </c>
      <c r="J27" s="11">
        <f>C27-I27</f>
        <v>2358.6399999999994</v>
      </c>
    </row>
    <row r="28" spans="1:10" ht="15">
      <c r="A28" s="4">
        <v>2</v>
      </c>
      <c r="B28" s="5" t="s">
        <v>12</v>
      </c>
      <c r="C28" s="6"/>
      <c r="D28" s="6"/>
      <c r="E28" s="6">
        <v>1170</v>
      </c>
      <c r="F28" s="6"/>
      <c r="G28" s="13">
        <f>507.8+555.4</f>
        <v>1063.2</v>
      </c>
      <c r="H28" s="6">
        <f>C28+D28+E28+F28-G28</f>
        <v>106.79999999999995</v>
      </c>
      <c r="I28" s="10">
        <f>559.4+675.4</f>
        <v>1234.8</v>
      </c>
      <c r="J28" s="11">
        <f>E28-I28</f>
        <v>-64.79999999999995</v>
      </c>
    </row>
    <row r="29" spans="1:8" ht="15">
      <c r="A29" s="18" t="s">
        <v>24</v>
      </c>
      <c r="B29" s="19"/>
      <c r="C29" s="19"/>
      <c r="D29" s="19"/>
      <c r="E29" s="19"/>
      <c r="F29" s="19"/>
      <c r="G29" s="19"/>
      <c r="H29" s="20"/>
    </row>
    <row r="30" spans="1:10" ht="15.75" customHeight="1">
      <c r="A30" s="4">
        <v>1</v>
      </c>
      <c r="B30" s="5" t="s">
        <v>43</v>
      </c>
      <c r="C30" s="6">
        <f>4300+126+500+703</f>
        <v>5629</v>
      </c>
      <c r="D30" s="6"/>
      <c r="E30" s="6"/>
      <c r="F30" s="6"/>
      <c r="G30" s="6">
        <f>0+1808.16+102.09+414.43+219.99+81.4+161.91</f>
        <v>2787.98</v>
      </c>
      <c r="H30" s="6">
        <f>C30+D30+E30+F30-G30</f>
        <v>2841.02</v>
      </c>
      <c r="I30" s="9">
        <f>0+2077.9+133.2+491.3+280.3+147.4+221.3</f>
        <v>3351.4000000000005</v>
      </c>
      <c r="J30" s="11">
        <f>C30-I30</f>
        <v>2277.5999999999995</v>
      </c>
    </row>
    <row r="31" spans="1:10" ht="15.75" customHeight="1">
      <c r="A31" s="4">
        <v>2</v>
      </c>
      <c r="B31" s="5" t="s">
        <v>12</v>
      </c>
      <c r="C31" s="6"/>
      <c r="D31" s="6"/>
      <c r="E31" s="6">
        <v>1170</v>
      </c>
      <c r="F31" s="6"/>
      <c r="G31" s="6">
        <f>560.16+566.9</f>
        <v>1127.06</v>
      </c>
      <c r="H31" s="6">
        <f>C31+D31+E31+F31-G31</f>
        <v>42.940000000000055</v>
      </c>
      <c r="I31" s="9">
        <f>579+684</f>
        <v>1263</v>
      </c>
      <c r="J31" s="11">
        <f>E31-I31</f>
        <v>-93</v>
      </c>
    </row>
    <row r="32" spans="1:8" ht="15">
      <c r="A32" s="18" t="s">
        <v>9</v>
      </c>
      <c r="B32" s="19"/>
      <c r="C32" s="19"/>
      <c r="D32" s="19"/>
      <c r="E32" s="19"/>
      <c r="F32" s="19"/>
      <c r="G32" s="19"/>
      <c r="H32" s="20"/>
    </row>
    <row r="33" spans="1:10" ht="15">
      <c r="A33" s="4">
        <v>1</v>
      </c>
      <c r="B33" s="5" t="s">
        <v>43</v>
      </c>
      <c r="C33" s="6">
        <f>4300+126+500+703</f>
        <v>5629</v>
      </c>
      <c r="D33" s="6"/>
      <c r="E33" s="6"/>
      <c r="F33" s="6"/>
      <c r="G33" s="6">
        <f>0+1820.02+99.83+384.3+245.54+68.3+190.58</f>
        <v>2808.57</v>
      </c>
      <c r="H33" s="6">
        <f>C33+D33+E33+F33-G33</f>
        <v>2820.43</v>
      </c>
      <c r="I33" s="9">
        <f>0+2094.12+123.36+485.04+323.52+102.24+243.12</f>
        <v>3371.3999999999996</v>
      </c>
      <c r="J33" s="11">
        <f>C33-I33</f>
        <v>2257.6000000000004</v>
      </c>
    </row>
    <row r="34" spans="1:10" ht="15.75" customHeight="1">
      <c r="A34" s="4">
        <v>2</v>
      </c>
      <c r="B34" s="5" t="s">
        <v>12</v>
      </c>
      <c r="C34" s="6"/>
      <c r="D34" s="6"/>
      <c r="E34" s="6">
        <v>1170</v>
      </c>
      <c r="F34" s="6"/>
      <c r="G34" s="6">
        <f>548.67+471.57</f>
        <v>1020.24</v>
      </c>
      <c r="H34" s="6">
        <f>C34+D34+E34+F34-G34</f>
        <v>149.76</v>
      </c>
      <c r="I34" s="9">
        <f>585.4+655.2</f>
        <v>1240.6</v>
      </c>
      <c r="J34" s="11">
        <f>E34-I34</f>
        <v>-70.59999999999991</v>
      </c>
    </row>
    <row r="35" spans="1:8" ht="15">
      <c r="A35" s="18" t="s">
        <v>10</v>
      </c>
      <c r="B35" s="19"/>
      <c r="C35" s="19"/>
      <c r="D35" s="19"/>
      <c r="E35" s="19"/>
      <c r="F35" s="19"/>
      <c r="G35" s="19"/>
      <c r="H35" s="20"/>
    </row>
    <row r="36" spans="1:10" ht="15.75" customHeight="1">
      <c r="A36" s="4">
        <v>1</v>
      </c>
      <c r="B36" s="5" t="s">
        <v>43</v>
      </c>
      <c r="C36" s="6">
        <f>4300+126+500+703</f>
        <v>5629</v>
      </c>
      <c r="D36" s="6"/>
      <c r="E36" s="6"/>
      <c r="F36" s="6"/>
      <c r="G36" s="6">
        <f>0+1665.23+106.12+406.67+280.17+89.77+164.97</f>
        <v>2712.93</v>
      </c>
      <c r="H36" s="6">
        <f>C36+D36+E36+F36-G36</f>
        <v>2916.07</v>
      </c>
      <c r="I36" s="9">
        <f>0+2027.88+346.32+474.96+357.6+145.68+243.84</f>
        <v>3596.28</v>
      </c>
      <c r="J36" s="11">
        <f>C36-I36</f>
        <v>2032.7199999999998</v>
      </c>
    </row>
    <row r="37" spans="1:10" ht="15.75" customHeight="1">
      <c r="A37" s="4">
        <v>2</v>
      </c>
      <c r="B37" s="5" t="s">
        <v>12</v>
      </c>
      <c r="C37" s="6"/>
      <c r="D37" s="6"/>
      <c r="E37" s="6">
        <v>1170</v>
      </c>
      <c r="F37" s="6"/>
      <c r="G37" s="6">
        <v>840.1</v>
      </c>
      <c r="H37" s="6">
        <f>C37+D37+E37+F37-G37</f>
        <v>329.9</v>
      </c>
      <c r="I37" s="9">
        <f>537.2+363.8</f>
        <v>901</v>
      </c>
      <c r="J37" s="11">
        <f>E37-I37</f>
        <v>269</v>
      </c>
    </row>
    <row r="38" spans="1:8" ht="15">
      <c r="A38" s="18" t="s">
        <v>13</v>
      </c>
      <c r="B38" s="19"/>
      <c r="C38" s="19"/>
      <c r="D38" s="19"/>
      <c r="E38" s="19"/>
      <c r="F38" s="19"/>
      <c r="G38" s="19"/>
      <c r="H38" s="20"/>
    </row>
    <row r="39" spans="1:10" ht="15">
      <c r="A39" s="4">
        <v>1</v>
      </c>
      <c r="B39" s="5" t="s">
        <v>43</v>
      </c>
      <c r="C39" s="6">
        <f>4300+126+500+703</f>
        <v>5629</v>
      </c>
      <c r="D39" s="6"/>
      <c r="E39" s="6"/>
      <c r="F39" s="6"/>
      <c r="G39" s="6">
        <f>0+1844.46+94.14+422.22+310.96+113.52+222.77</f>
        <v>3008.07</v>
      </c>
      <c r="H39" s="6">
        <f>C39+D39+E39+F39-G39</f>
        <v>2620.93</v>
      </c>
      <c r="I39" s="9">
        <f>0+2045.52+131.52+500.16+371.04+158.16+276.72</f>
        <v>3483.12</v>
      </c>
      <c r="J39" s="11">
        <f>C39-I39</f>
        <v>2145.88</v>
      </c>
    </row>
    <row r="40" spans="1:10" ht="15">
      <c r="A40" s="4">
        <v>2</v>
      </c>
      <c r="B40" s="5" t="s">
        <v>12</v>
      </c>
      <c r="C40" s="6"/>
      <c r="D40" s="6"/>
      <c r="E40" s="6">
        <v>1170</v>
      </c>
      <c r="F40" s="6"/>
      <c r="G40" s="6">
        <f>331.309+233.409</f>
        <v>564.7180000000001</v>
      </c>
      <c r="H40" s="6">
        <f>C40+D40+E40+F40-G40</f>
        <v>605.2819999999999</v>
      </c>
      <c r="I40" s="10">
        <f>533.6+362.4</f>
        <v>896</v>
      </c>
      <c r="J40" s="11">
        <f>E40-I40</f>
        <v>274</v>
      </c>
    </row>
    <row r="41" spans="1:8" ht="15">
      <c r="A41" s="18" t="s">
        <v>14</v>
      </c>
      <c r="B41" s="19"/>
      <c r="C41" s="19"/>
      <c r="D41" s="19"/>
      <c r="E41" s="19"/>
      <c r="F41" s="19"/>
      <c r="G41" s="19"/>
      <c r="H41" s="20"/>
    </row>
    <row r="42" spans="1:10" ht="15">
      <c r="A42" s="4">
        <v>1</v>
      </c>
      <c r="B42" s="5" t="s">
        <v>43</v>
      </c>
      <c r="C42" s="6">
        <f>4300+126+500+703</f>
        <v>5629</v>
      </c>
      <c r="D42" s="6"/>
      <c r="E42" s="6"/>
      <c r="F42" s="6"/>
      <c r="G42" s="6">
        <f>0+1766.71+102.26+455.26+337.3+141.43+158.18</f>
        <v>2961.14</v>
      </c>
      <c r="H42" s="6">
        <f>C42+D42+E42+F42-G42</f>
        <v>2667.86</v>
      </c>
      <c r="I42" s="9">
        <f>0+2049.5+123.4+536.2+384.5+175+271.9</f>
        <v>3540.5000000000005</v>
      </c>
      <c r="J42" s="11">
        <f>C42-I42</f>
        <v>2088.4999999999995</v>
      </c>
    </row>
    <row r="43" spans="1:10" ht="15">
      <c r="A43" s="4">
        <v>2</v>
      </c>
      <c r="B43" s="5" t="s">
        <v>12</v>
      </c>
      <c r="C43" s="6"/>
      <c r="D43" s="6"/>
      <c r="E43" s="6">
        <v>1170</v>
      </c>
      <c r="F43" s="6"/>
      <c r="G43" s="6">
        <f>317.812+239.5</f>
        <v>557.312</v>
      </c>
      <c r="H43" s="6">
        <f>C43+D43+E43+F43-G43</f>
        <v>612.688</v>
      </c>
      <c r="I43" s="9">
        <f>553.6+368.6</f>
        <v>922.2</v>
      </c>
      <c r="J43" s="11">
        <f>E43-I43</f>
        <v>247.79999999999995</v>
      </c>
    </row>
    <row r="44" spans="1:8" ht="28.5" customHeight="1">
      <c r="A44" s="17" t="s">
        <v>16</v>
      </c>
      <c r="B44" s="17"/>
      <c r="C44" s="17"/>
      <c r="D44" s="17"/>
      <c r="E44" s="17"/>
      <c r="F44" s="17"/>
      <c r="G44" s="17"/>
      <c r="H44" s="17"/>
    </row>
    <row r="45" spans="1:8" ht="15" customHeight="1">
      <c r="A45" s="17" t="s">
        <v>37</v>
      </c>
      <c r="B45" s="17"/>
      <c r="C45" s="17"/>
      <c r="D45" s="17"/>
      <c r="E45" s="17"/>
      <c r="F45" s="17"/>
      <c r="G45" s="17"/>
      <c r="H45" s="17"/>
    </row>
    <row r="46" spans="1:8" ht="15">
      <c r="A46" s="17"/>
      <c r="B46" s="17"/>
      <c r="C46" s="17"/>
      <c r="D46" s="17"/>
      <c r="E46" s="17"/>
      <c r="F46" s="17"/>
      <c r="G46" s="17"/>
      <c r="H46" s="17"/>
    </row>
  </sheetData>
  <sheetProtection/>
  <mergeCells count="24">
    <mergeCell ref="A1:H1"/>
    <mergeCell ref="A2:H2"/>
    <mergeCell ref="A3:H3"/>
    <mergeCell ref="A4:H4"/>
    <mergeCell ref="A6:A7"/>
    <mergeCell ref="B6:B7"/>
    <mergeCell ref="C6:F6"/>
    <mergeCell ref="G6:G7"/>
    <mergeCell ref="H6:H7"/>
    <mergeCell ref="A8:H8"/>
    <mergeCell ref="A11:H11"/>
    <mergeCell ref="A14:H14"/>
    <mergeCell ref="A17:H17"/>
    <mergeCell ref="A20:H20"/>
    <mergeCell ref="A23:H23"/>
    <mergeCell ref="A44:H44"/>
    <mergeCell ref="A45:H45"/>
    <mergeCell ref="A46:H46"/>
    <mergeCell ref="A26:H26"/>
    <mergeCell ref="A29:H29"/>
    <mergeCell ref="A32:H32"/>
    <mergeCell ref="A35:H35"/>
    <mergeCell ref="A38:H38"/>
    <mergeCell ref="A41:H4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46"/>
  <sheetViews>
    <sheetView zoomScalePageLayoutView="0" workbookViewId="0" topLeftCell="A1">
      <selection activeCell="A1" sqref="A1:IV16384"/>
    </sheetView>
  </sheetViews>
  <sheetFormatPr defaultColWidth="9.140625" defaultRowHeight="12.75"/>
  <cols>
    <col min="1" max="1" width="5.140625" style="1" customWidth="1"/>
    <col min="2" max="2" width="49.8515625" style="1" customWidth="1"/>
    <col min="3" max="6" width="12.8515625" style="1" customWidth="1"/>
    <col min="7" max="8" width="17.7109375" style="1" customWidth="1"/>
    <col min="9" max="9" width="9.7109375" style="9" customWidth="1"/>
    <col min="10" max="10" width="10.421875" style="9" customWidth="1"/>
    <col min="11" max="11" width="9.140625" style="12" customWidth="1"/>
    <col min="12" max="16384" width="9.140625" style="1" customWidth="1"/>
  </cols>
  <sheetData>
    <row r="1" spans="1:8" ht="22.5" customHeight="1">
      <c r="A1" s="21" t="s">
        <v>34</v>
      </c>
      <c r="B1" s="21"/>
      <c r="C1" s="21"/>
      <c r="D1" s="21"/>
      <c r="E1" s="21"/>
      <c r="F1" s="21"/>
      <c r="G1" s="21"/>
      <c r="H1" s="21"/>
    </row>
    <row r="2" spans="1:8" ht="22.5" customHeight="1">
      <c r="A2" s="21" t="s">
        <v>35</v>
      </c>
      <c r="B2" s="21"/>
      <c r="C2" s="21"/>
      <c r="D2" s="21"/>
      <c r="E2" s="21"/>
      <c r="F2" s="21"/>
      <c r="G2" s="21"/>
      <c r="H2" s="21"/>
    </row>
    <row r="3" spans="1:8" ht="36.75" customHeight="1">
      <c r="A3" s="22" t="s">
        <v>36</v>
      </c>
      <c r="B3" s="22"/>
      <c r="C3" s="22"/>
      <c r="D3" s="22"/>
      <c r="E3" s="22"/>
      <c r="F3" s="22"/>
      <c r="G3" s="22"/>
      <c r="H3" s="22"/>
    </row>
    <row r="4" spans="1:8" ht="15">
      <c r="A4" s="22" t="s">
        <v>45</v>
      </c>
      <c r="B4" s="22"/>
      <c r="C4" s="22"/>
      <c r="D4" s="22"/>
      <c r="E4" s="22"/>
      <c r="F4" s="22"/>
      <c r="G4" s="22"/>
      <c r="H4" s="22"/>
    </row>
    <row r="5" spans="1:8" ht="15">
      <c r="A5" s="2"/>
      <c r="B5" s="2"/>
      <c r="C5" s="2"/>
      <c r="D5" s="2"/>
      <c r="E5" s="2"/>
      <c r="F5" s="2"/>
      <c r="G5" s="14" t="s">
        <v>26</v>
      </c>
      <c r="H5" s="2"/>
    </row>
    <row r="6" spans="1:8" ht="40.5" customHeight="1">
      <c r="A6" s="23" t="s">
        <v>1</v>
      </c>
      <c r="B6" s="23" t="s">
        <v>7</v>
      </c>
      <c r="C6" s="25" t="s">
        <v>44</v>
      </c>
      <c r="D6" s="26"/>
      <c r="E6" s="26"/>
      <c r="F6" s="27"/>
      <c r="G6" s="23" t="s">
        <v>15</v>
      </c>
      <c r="H6" s="23" t="s">
        <v>8</v>
      </c>
    </row>
    <row r="7" spans="1:9" ht="26.25">
      <c r="A7" s="24"/>
      <c r="B7" s="24"/>
      <c r="C7" s="4" t="s">
        <v>3</v>
      </c>
      <c r="D7" s="4" t="s">
        <v>5</v>
      </c>
      <c r="E7" s="4" t="s">
        <v>4</v>
      </c>
      <c r="F7" s="4" t="s">
        <v>2</v>
      </c>
      <c r="G7" s="24"/>
      <c r="H7" s="24"/>
      <c r="I7" s="9" t="s">
        <v>28</v>
      </c>
    </row>
    <row r="8" spans="1:8" ht="15">
      <c r="A8" s="18" t="s">
        <v>17</v>
      </c>
      <c r="B8" s="19"/>
      <c r="C8" s="19"/>
      <c r="D8" s="19"/>
      <c r="E8" s="19"/>
      <c r="F8" s="19"/>
      <c r="G8" s="19"/>
      <c r="H8" s="20"/>
    </row>
    <row r="9" spans="1:10" ht="15">
      <c r="A9" s="4">
        <v>1</v>
      </c>
      <c r="B9" s="5" t="s">
        <v>43</v>
      </c>
      <c r="C9" s="6">
        <f>4300+126+500</f>
        <v>4926</v>
      </c>
      <c r="D9" s="6"/>
      <c r="E9" s="6"/>
      <c r="F9" s="6"/>
      <c r="G9" s="6">
        <f>0+1725.77+393.9+0+380.21+0</f>
        <v>2499.88</v>
      </c>
      <c r="H9" s="6">
        <f>C9+D9+E9+F9-G9</f>
        <v>2426.12</v>
      </c>
      <c r="I9" s="9">
        <f>0+2003.04+445.92+0+467.76+0</f>
        <v>2916.7200000000003</v>
      </c>
      <c r="J9" s="11">
        <f>C9-I9</f>
        <v>2009.2799999999997</v>
      </c>
    </row>
    <row r="10" spans="1:10" ht="15">
      <c r="A10" s="4">
        <v>2</v>
      </c>
      <c r="B10" s="5" t="s">
        <v>12</v>
      </c>
      <c r="C10" s="6"/>
      <c r="D10" s="6"/>
      <c r="E10" s="6">
        <v>1170</v>
      </c>
      <c r="F10" s="6"/>
      <c r="G10" s="6">
        <f>443.97+358.1</f>
        <v>802.07</v>
      </c>
      <c r="H10" s="6">
        <f>C10+D10+E10+F10-G10</f>
        <v>367.92999999999995</v>
      </c>
      <c r="I10" s="10">
        <f>477.6+373.6</f>
        <v>851.2</v>
      </c>
      <c r="J10" s="11">
        <f>E10-I10</f>
        <v>318.79999999999995</v>
      </c>
    </row>
    <row r="11" spans="1:8" ht="15">
      <c r="A11" s="18" t="s">
        <v>18</v>
      </c>
      <c r="B11" s="19"/>
      <c r="C11" s="19"/>
      <c r="D11" s="19"/>
      <c r="E11" s="19"/>
      <c r="F11" s="19"/>
      <c r="G11" s="19"/>
      <c r="H11" s="20"/>
    </row>
    <row r="12" spans="1:10" ht="15">
      <c r="A12" s="4">
        <v>1</v>
      </c>
      <c r="B12" s="5" t="s">
        <v>43</v>
      </c>
      <c r="C12" s="6">
        <f>4300+126+500</f>
        <v>4926</v>
      </c>
      <c r="D12" s="6"/>
      <c r="E12" s="6"/>
      <c r="F12" s="6"/>
      <c r="G12" s="6">
        <f>0+1484.03+388.36+0+391.11+0</f>
        <v>2263.5</v>
      </c>
      <c r="H12" s="6">
        <f>C12+D12+E12+F12-G12</f>
        <v>2662.5</v>
      </c>
      <c r="I12" s="9">
        <f>0+1980+490.56+0+522.24+0</f>
        <v>2992.8</v>
      </c>
      <c r="J12" s="11">
        <f>C12-I12</f>
        <v>1933.1999999999998</v>
      </c>
    </row>
    <row r="13" spans="1:10" ht="15">
      <c r="A13" s="4">
        <v>2</v>
      </c>
      <c r="B13" s="5" t="s">
        <v>12</v>
      </c>
      <c r="C13" s="6"/>
      <c r="D13" s="6"/>
      <c r="E13" s="6">
        <v>1170</v>
      </c>
      <c r="F13" s="6"/>
      <c r="G13" s="6">
        <f>430.71+338.33</f>
        <v>769.04</v>
      </c>
      <c r="H13" s="6">
        <f>C13+D13+E13+F13-G13</f>
        <v>400.96000000000004</v>
      </c>
      <c r="I13" s="10">
        <f>519+374.2</f>
        <v>893.2</v>
      </c>
      <c r="J13" s="11">
        <f>E13-I13</f>
        <v>276.79999999999995</v>
      </c>
    </row>
    <row r="14" spans="1:8" ht="15">
      <c r="A14" s="18" t="s">
        <v>19</v>
      </c>
      <c r="B14" s="19"/>
      <c r="C14" s="19"/>
      <c r="D14" s="19"/>
      <c r="E14" s="19"/>
      <c r="F14" s="19"/>
      <c r="G14" s="19"/>
      <c r="H14" s="20"/>
    </row>
    <row r="15" spans="1:10" ht="15">
      <c r="A15" s="4">
        <v>1</v>
      </c>
      <c r="B15" s="5" t="s">
        <v>43</v>
      </c>
      <c r="C15" s="6">
        <f>4300+126+500</f>
        <v>4926</v>
      </c>
      <c r="D15" s="6"/>
      <c r="E15" s="6"/>
      <c r="F15" s="6"/>
      <c r="G15" s="6">
        <f>0+1635.03+405.98+0+382.65+0</f>
        <v>2423.66</v>
      </c>
      <c r="H15" s="6">
        <f>C15+D15+E15+F15-G15</f>
        <v>2502.34</v>
      </c>
      <c r="I15" s="9">
        <f>0+2024.3+485.5+0+443.3+0</f>
        <v>2953.1000000000004</v>
      </c>
      <c r="J15" s="11">
        <f>C15-I15</f>
        <v>1972.8999999999996</v>
      </c>
    </row>
    <row r="16" spans="1:10" ht="15">
      <c r="A16" s="4">
        <v>2</v>
      </c>
      <c r="B16" s="5" t="s">
        <v>12</v>
      </c>
      <c r="C16" s="6"/>
      <c r="D16" s="6"/>
      <c r="E16" s="6">
        <v>1170</v>
      </c>
      <c r="F16" s="6"/>
      <c r="G16" s="6">
        <f>487.42+355.69</f>
        <v>843.11</v>
      </c>
      <c r="H16" s="6">
        <f>C16+D16+E16+F16-G16</f>
        <v>326.89</v>
      </c>
      <c r="I16" s="10">
        <f>513.2+368.2</f>
        <v>881.4000000000001</v>
      </c>
      <c r="J16" s="11">
        <f>E16-I16</f>
        <v>288.5999999999999</v>
      </c>
    </row>
    <row r="17" spans="1:8" ht="15">
      <c r="A17" s="18" t="s">
        <v>20</v>
      </c>
      <c r="B17" s="19"/>
      <c r="C17" s="19"/>
      <c r="D17" s="19"/>
      <c r="E17" s="19"/>
      <c r="F17" s="19"/>
      <c r="G17" s="19"/>
      <c r="H17" s="20"/>
    </row>
    <row r="18" spans="1:10" ht="15.75" customHeight="1">
      <c r="A18" s="4">
        <v>1</v>
      </c>
      <c r="B18" s="5" t="s">
        <v>43</v>
      </c>
      <c r="C18" s="6">
        <f>4300+126+500</f>
        <v>4926</v>
      </c>
      <c r="D18" s="6"/>
      <c r="E18" s="6"/>
      <c r="F18" s="6"/>
      <c r="G18" s="6">
        <f>0+1620.72+410.34+0+336.04+0</f>
        <v>2367.1</v>
      </c>
      <c r="H18" s="6">
        <f>C18+D18+E18+F18-G18</f>
        <v>2558.9</v>
      </c>
      <c r="I18" s="9">
        <f>0+1984.4+455.3+0+419+0</f>
        <v>2858.7000000000003</v>
      </c>
      <c r="J18" s="11">
        <f>C18-I18</f>
        <v>2067.2999999999997</v>
      </c>
    </row>
    <row r="19" spans="1:10" ht="15">
      <c r="A19" s="4">
        <v>2</v>
      </c>
      <c r="B19" s="5" t="s">
        <v>12</v>
      </c>
      <c r="C19" s="6"/>
      <c r="D19" s="6"/>
      <c r="E19" s="6">
        <v>1170</v>
      </c>
      <c r="F19" s="6"/>
      <c r="G19" s="6">
        <f>464.93+386.46</f>
        <v>851.39</v>
      </c>
      <c r="H19" s="6">
        <f>C19+D19+E19+F19-G19</f>
        <v>318.61</v>
      </c>
      <c r="I19" s="10">
        <f>507.2+539.8</f>
        <v>1047</v>
      </c>
      <c r="J19" s="11">
        <f>E19-I19</f>
        <v>123</v>
      </c>
    </row>
    <row r="20" spans="1:8" ht="15">
      <c r="A20" s="18" t="s">
        <v>21</v>
      </c>
      <c r="B20" s="19"/>
      <c r="C20" s="19"/>
      <c r="D20" s="19"/>
      <c r="E20" s="19"/>
      <c r="F20" s="19"/>
      <c r="G20" s="19"/>
      <c r="H20" s="20"/>
    </row>
    <row r="21" spans="1:10" ht="15">
      <c r="A21" s="4">
        <v>1</v>
      </c>
      <c r="B21" s="5" t="s">
        <v>43</v>
      </c>
      <c r="C21" s="6">
        <f>4300+126+500</f>
        <v>4926</v>
      </c>
      <c r="D21" s="6"/>
      <c r="E21" s="6"/>
      <c r="F21" s="6"/>
      <c r="G21" s="6">
        <f>0+1622.52+210.18+72.6+323.46+0</f>
        <v>2228.7599999999998</v>
      </c>
      <c r="H21" s="6">
        <f>C21+D21+E21+F21-G21</f>
        <v>2697.2400000000002</v>
      </c>
      <c r="I21" s="9">
        <f>0+1959.84+423.12+384.72+440.88+0</f>
        <v>3208.5600000000004</v>
      </c>
      <c r="J21" s="11">
        <f>C21-I21</f>
        <v>1717.4399999999996</v>
      </c>
    </row>
    <row r="22" spans="1:10" ht="15">
      <c r="A22" s="4">
        <v>2</v>
      </c>
      <c r="B22" s="5" t="s">
        <v>12</v>
      </c>
      <c r="C22" s="6"/>
      <c r="D22" s="6"/>
      <c r="E22" s="6">
        <v>1170</v>
      </c>
      <c r="F22" s="6"/>
      <c r="G22" s="6">
        <f>515.02+541.74</f>
        <v>1056.76</v>
      </c>
      <c r="H22" s="6">
        <f>C22+D22+E22+F22-G22</f>
        <v>113.24000000000001</v>
      </c>
      <c r="I22" s="10">
        <f>702.6+620.4</f>
        <v>1323</v>
      </c>
      <c r="J22" s="11">
        <f>E22-I22</f>
        <v>-153</v>
      </c>
    </row>
    <row r="23" spans="1:10" ht="15">
      <c r="A23" s="18" t="s">
        <v>22</v>
      </c>
      <c r="B23" s="19"/>
      <c r="C23" s="19"/>
      <c r="D23" s="19"/>
      <c r="E23" s="19"/>
      <c r="F23" s="19"/>
      <c r="G23" s="19"/>
      <c r="H23" s="20"/>
      <c r="J23" s="11"/>
    </row>
    <row r="24" spans="1:10" ht="15.75" customHeight="1">
      <c r="A24" s="4">
        <v>1</v>
      </c>
      <c r="B24" s="5" t="s">
        <v>43</v>
      </c>
      <c r="C24" s="6">
        <f>4300+126+500</f>
        <v>4926</v>
      </c>
      <c r="D24" s="6"/>
      <c r="E24" s="6"/>
      <c r="F24" s="6"/>
      <c r="G24" s="6">
        <f>0+1675.33+99.49+364.94+306.69+0</f>
        <v>2446.45</v>
      </c>
      <c r="H24" s="6">
        <f>C24+D24+E24+F24-G24</f>
        <v>2479.55</v>
      </c>
      <c r="I24" s="9">
        <f>0+1941.8+128+494.2+371.3+0</f>
        <v>2935.3</v>
      </c>
      <c r="J24" s="11">
        <f>C24-I24</f>
        <v>1990.6999999999998</v>
      </c>
    </row>
    <row r="25" spans="1:10" ht="15">
      <c r="A25" s="4">
        <v>2</v>
      </c>
      <c r="B25" s="5" t="s">
        <v>12</v>
      </c>
      <c r="C25" s="6"/>
      <c r="D25" s="6"/>
      <c r="E25" s="6">
        <v>1170</v>
      </c>
      <c r="F25" s="6"/>
      <c r="G25" s="13">
        <f>523.76+587.84</f>
        <v>1111.6</v>
      </c>
      <c r="H25" s="6">
        <f>C25+D25+E25+F25-G25</f>
        <v>58.40000000000009</v>
      </c>
      <c r="I25" s="10">
        <f>559+712.4</f>
        <v>1271.4</v>
      </c>
      <c r="J25" s="11">
        <f>E25-I25</f>
        <v>-101.40000000000009</v>
      </c>
    </row>
    <row r="26" spans="1:8" ht="15">
      <c r="A26" s="18" t="s">
        <v>23</v>
      </c>
      <c r="B26" s="19"/>
      <c r="C26" s="19"/>
      <c r="D26" s="19"/>
      <c r="E26" s="19"/>
      <c r="F26" s="19"/>
      <c r="G26" s="19"/>
      <c r="H26" s="20"/>
    </row>
    <row r="27" spans="1:10" ht="15.75" customHeight="1">
      <c r="A27" s="4">
        <v>1</v>
      </c>
      <c r="B27" s="5" t="s">
        <v>43</v>
      </c>
      <c r="C27" s="6">
        <f>4300+126+500</f>
        <v>4926</v>
      </c>
      <c r="D27" s="6"/>
      <c r="E27" s="6"/>
      <c r="F27" s="6"/>
      <c r="G27" s="6">
        <f>0+1581.85+105.07+327.14+324.02+0</f>
        <v>2338.08</v>
      </c>
      <c r="H27" s="6">
        <f>C27+D27+E27+F27-G27</f>
        <v>2587.92</v>
      </c>
      <c r="I27" s="9">
        <f>0+1903.32+132.24+433.2+393.36+0</f>
        <v>2862.12</v>
      </c>
      <c r="J27" s="11">
        <f>C27-I27</f>
        <v>2063.88</v>
      </c>
    </row>
    <row r="28" spans="1:10" ht="15">
      <c r="A28" s="4">
        <v>2</v>
      </c>
      <c r="B28" s="5" t="s">
        <v>12</v>
      </c>
      <c r="C28" s="6"/>
      <c r="D28" s="6"/>
      <c r="E28" s="6">
        <v>1170</v>
      </c>
      <c r="F28" s="6"/>
      <c r="G28" s="13">
        <f>528.69+629.07</f>
        <v>1157.7600000000002</v>
      </c>
      <c r="H28" s="6">
        <f>C28+D28+E28+F28-G28</f>
        <v>12.239999999999782</v>
      </c>
      <c r="I28" s="10">
        <f>563.2+725.6</f>
        <v>1288.8000000000002</v>
      </c>
      <c r="J28" s="11">
        <f>E28-I28</f>
        <v>-118.80000000000018</v>
      </c>
    </row>
    <row r="29" spans="1:8" ht="15">
      <c r="A29" s="18" t="s">
        <v>24</v>
      </c>
      <c r="B29" s="19"/>
      <c r="C29" s="19"/>
      <c r="D29" s="19"/>
      <c r="E29" s="19"/>
      <c r="F29" s="19"/>
      <c r="G29" s="19"/>
      <c r="H29" s="20"/>
    </row>
    <row r="30" spans="1:10" ht="15.75" customHeight="1">
      <c r="A30" s="4">
        <v>1</v>
      </c>
      <c r="B30" s="5" t="s">
        <v>43</v>
      </c>
      <c r="C30" s="6">
        <f>4300+126+500</f>
        <v>4926</v>
      </c>
      <c r="D30" s="6"/>
      <c r="E30" s="6"/>
      <c r="F30" s="6"/>
      <c r="G30" s="6">
        <f>0+1692.87+102.4+380.42+90.28+176.42</f>
        <v>2442.3900000000003</v>
      </c>
      <c r="H30" s="6">
        <f>C30+D30+E30+F30-G30</f>
        <v>2483.6099999999997</v>
      </c>
      <c r="I30" s="9">
        <f>0+1941.84+126.72+428.88+353.52+265.7</f>
        <v>3116.66</v>
      </c>
      <c r="J30" s="11">
        <f>C30-I30</f>
        <v>1809.3400000000001</v>
      </c>
    </row>
    <row r="31" spans="1:10" ht="15.75" customHeight="1">
      <c r="A31" s="4">
        <v>2</v>
      </c>
      <c r="B31" s="5" t="s">
        <v>12</v>
      </c>
      <c r="C31" s="6"/>
      <c r="D31" s="6"/>
      <c r="E31" s="6">
        <v>1170</v>
      </c>
      <c r="F31" s="6"/>
      <c r="G31" s="6">
        <f>528.97+575.44</f>
        <v>1104.41</v>
      </c>
      <c r="H31" s="6">
        <f>C31+D31+E31+F31-G31</f>
        <v>65.58999999999992</v>
      </c>
      <c r="I31" s="9">
        <f>562.2+666.6</f>
        <v>1228.8000000000002</v>
      </c>
      <c r="J31" s="11">
        <f>E31-I31</f>
        <v>-58.80000000000018</v>
      </c>
    </row>
    <row r="32" spans="1:8" ht="15">
      <c r="A32" s="18" t="s">
        <v>9</v>
      </c>
      <c r="B32" s="19"/>
      <c r="C32" s="19"/>
      <c r="D32" s="19"/>
      <c r="E32" s="19"/>
      <c r="F32" s="19"/>
      <c r="G32" s="19"/>
      <c r="H32" s="20"/>
    </row>
    <row r="33" spans="1:10" ht="15">
      <c r="A33" s="4">
        <v>1</v>
      </c>
      <c r="B33" s="5" t="s">
        <v>43</v>
      </c>
      <c r="C33" s="6">
        <f>4300+126+500</f>
        <v>4926</v>
      </c>
      <c r="D33" s="6"/>
      <c r="E33" s="6"/>
      <c r="F33" s="6"/>
      <c r="G33" s="6">
        <f>0+1517.66+96.64+384.37+239.3+71.95</f>
        <v>2309.92</v>
      </c>
      <c r="H33" s="6">
        <f>C33+D33+E33+F33-G33</f>
        <v>2616.08</v>
      </c>
      <c r="I33" s="9">
        <f>0+1929.6+124.8+485.76+323.28+130.8</f>
        <v>2994.24</v>
      </c>
      <c r="J33" s="11">
        <f>C33-I33</f>
        <v>1931.7600000000002</v>
      </c>
    </row>
    <row r="34" spans="1:10" ht="15.75" customHeight="1">
      <c r="A34" s="4">
        <v>2</v>
      </c>
      <c r="B34" s="5" t="s">
        <v>12</v>
      </c>
      <c r="C34" s="6"/>
      <c r="D34" s="6"/>
      <c r="E34" s="6">
        <v>1170</v>
      </c>
      <c r="F34" s="6"/>
      <c r="G34" s="6">
        <f>496.34+500.59</f>
        <v>996.93</v>
      </c>
      <c r="H34" s="6">
        <f>C34+D34+E34+F34-G34</f>
        <v>173.07000000000005</v>
      </c>
      <c r="I34" s="9">
        <f>550.6+663.6</f>
        <v>1214.2</v>
      </c>
      <c r="J34" s="11">
        <f>E34-I34</f>
        <v>-44.200000000000045</v>
      </c>
    </row>
    <row r="35" spans="1:8" ht="15">
      <c r="A35" s="18" t="s">
        <v>10</v>
      </c>
      <c r="B35" s="19"/>
      <c r="C35" s="19"/>
      <c r="D35" s="19"/>
      <c r="E35" s="19"/>
      <c r="F35" s="19"/>
      <c r="G35" s="19"/>
      <c r="H35" s="20"/>
    </row>
    <row r="36" spans="1:10" ht="15.75" customHeight="1">
      <c r="A36" s="4">
        <v>1</v>
      </c>
      <c r="B36" s="5" t="s">
        <v>43</v>
      </c>
      <c r="C36" s="6">
        <f>4300+126+500</f>
        <v>4926</v>
      </c>
      <c r="D36" s="6"/>
      <c r="E36" s="6"/>
      <c r="F36" s="6"/>
      <c r="G36" s="6">
        <f>0+1711.51+100.79+417.72+287.71+107.93</f>
        <v>2625.66</v>
      </c>
      <c r="H36" s="6">
        <f>C36+D36+E36+F36-G36</f>
        <v>2300.34</v>
      </c>
      <c r="I36" s="9">
        <f>0+1967.4+126.24+487.92+363.6+147.12</f>
        <v>3092.2799999999997</v>
      </c>
      <c r="J36" s="11">
        <f>C36-I36</f>
        <v>1833.7200000000003</v>
      </c>
    </row>
    <row r="37" spans="1:10" ht="15.75" customHeight="1">
      <c r="A37" s="4">
        <v>2</v>
      </c>
      <c r="B37" s="5" t="s">
        <v>12</v>
      </c>
      <c r="C37" s="6"/>
      <c r="D37" s="6"/>
      <c r="E37" s="6">
        <v>1170</v>
      </c>
      <c r="F37" s="6"/>
      <c r="G37" s="6">
        <f>501.42+354.33</f>
        <v>855.75</v>
      </c>
      <c r="H37" s="6">
        <f>C37+D37+E37+F37-G37</f>
        <v>314.25</v>
      </c>
      <c r="I37" s="9">
        <f>523.4+485.8</f>
        <v>1009.2</v>
      </c>
      <c r="J37" s="11">
        <f>E37-I37</f>
        <v>160.79999999999995</v>
      </c>
    </row>
    <row r="38" spans="1:8" ht="15">
      <c r="A38" s="18" t="s">
        <v>13</v>
      </c>
      <c r="B38" s="19"/>
      <c r="C38" s="19"/>
      <c r="D38" s="19"/>
      <c r="E38" s="19"/>
      <c r="F38" s="19"/>
      <c r="G38" s="19"/>
      <c r="H38" s="20"/>
    </row>
    <row r="39" spans="1:10" ht="15">
      <c r="A39" s="4">
        <v>1</v>
      </c>
      <c r="B39" s="5" t="s">
        <v>43</v>
      </c>
      <c r="C39" s="6">
        <f>4300+126+500</f>
        <v>4926</v>
      </c>
      <c r="D39" s="6"/>
      <c r="E39" s="6"/>
      <c r="F39" s="6"/>
      <c r="G39" s="6">
        <f>0+1739.72+186.15+473.54+279.16+125.61</f>
        <v>2804.1800000000003</v>
      </c>
      <c r="H39" s="6">
        <f>C39+D39+E39+F39-G39</f>
        <v>2121.8199999999997</v>
      </c>
      <c r="I39" s="9">
        <f>0+1974.24+117.12+510.96+331.92+168.48</f>
        <v>3102.7200000000003</v>
      </c>
      <c r="J39" s="11">
        <f>C39-I39</f>
        <v>1823.2799999999997</v>
      </c>
    </row>
    <row r="40" spans="1:10" ht="15">
      <c r="A40" s="4">
        <v>2</v>
      </c>
      <c r="B40" s="5" t="s">
        <v>12</v>
      </c>
      <c r="C40" s="6"/>
      <c r="D40" s="6"/>
      <c r="E40" s="6">
        <v>1170</v>
      </c>
      <c r="F40" s="6"/>
      <c r="G40" s="6">
        <f>485.29+350.89</f>
        <v>836.1800000000001</v>
      </c>
      <c r="H40" s="6">
        <f>C40+D40+E40+F40-G40</f>
        <v>333.81999999999994</v>
      </c>
      <c r="I40" s="10">
        <f>537.6+370</f>
        <v>907.6</v>
      </c>
      <c r="J40" s="11">
        <f>E40-I40</f>
        <v>262.4</v>
      </c>
    </row>
    <row r="41" spans="1:8" ht="15">
      <c r="A41" s="18" t="s">
        <v>14</v>
      </c>
      <c r="B41" s="19"/>
      <c r="C41" s="19"/>
      <c r="D41" s="19"/>
      <c r="E41" s="19"/>
      <c r="F41" s="19"/>
      <c r="G41" s="19"/>
      <c r="H41" s="20"/>
    </row>
    <row r="42" spans="1:10" ht="15">
      <c r="A42" s="4">
        <v>1</v>
      </c>
      <c r="B42" s="5" t="s">
        <v>43</v>
      </c>
      <c r="C42" s="6">
        <f>4300+126+500</f>
        <v>4926</v>
      </c>
      <c r="D42" s="6"/>
      <c r="E42" s="6"/>
      <c r="F42" s="6"/>
      <c r="G42" s="6">
        <f>0+1657.18+97.1+451.44+272.9+146.14</f>
        <v>2624.7599999999998</v>
      </c>
      <c r="H42" s="6">
        <f>C42+D42+E42+F42-G42</f>
        <v>2301.2400000000002</v>
      </c>
      <c r="I42" s="9">
        <f>0+2030.76+115.44+515.28+327.84+208.32</f>
        <v>3197.64</v>
      </c>
      <c r="J42" s="11">
        <f>C42-I42</f>
        <v>1728.3600000000001</v>
      </c>
    </row>
    <row r="43" spans="1:10" ht="15">
      <c r="A43" s="4">
        <v>2</v>
      </c>
      <c r="B43" s="5" t="s">
        <v>12</v>
      </c>
      <c r="C43" s="6"/>
      <c r="D43" s="6"/>
      <c r="E43" s="6">
        <v>1170</v>
      </c>
      <c r="F43" s="6"/>
      <c r="G43" s="6">
        <f>554.12+362.08</f>
        <v>916.2</v>
      </c>
      <c r="H43" s="6">
        <f>C43+D43+E43+F43-G43</f>
        <v>253.79999999999995</v>
      </c>
      <c r="I43" s="9">
        <f>554.2+383</f>
        <v>937.2</v>
      </c>
      <c r="J43" s="11">
        <f>E43-I43</f>
        <v>232.79999999999995</v>
      </c>
    </row>
    <row r="44" spans="1:8" ht="28.5" customHeight="1">
      <c r="A44" s="17" t="s">
        <v>16</v>
      </c>
      <c r="B44" s="17"/>
      <c r="C44" s="17"/>
      <c r="D44" s="17"/>
      <c r="E44" s="17"/>
      <c r="F44" s="17"/>
      <c r="G44" s="17"/>
      <c r="H44" s="17"/>
    </row>
    <row r="45" spans="1:8" ht="15" customHeight="1">
      <c r="A45" s="17" t="s">
        <v>37</v>
      </c>
      <c r="B45" s="17"/>
      <c r="C45" s="17"/>
      <c r="D45" s="17"/>
      <c r="E45" s="17"/>
      <c r="F45" s="17"/>
      <c r="G45" s="17"/>
      <c r="H45" s="17"/>
    </row>
    <row r="46" spans="1:8" ht="15">
      <c r="A46" s="17"/>
      <c r="B46" s="17"/>
      <c r="C46" s="17"/>
      <c r="D46" s="17"/>
      <c r="E46" s="17"/>
      <c r="F46" s="17"/>
      <c r="G46" s="17"/>
      <c r="H46" s="17"/>
    </row>
  </sheetData>
  <sheetProtection/>
  <mergeCells count="24">
    <mergeCell ref="C6:F6"/>
    <mergeCell ref="G6:G7"/>
    <mergeCell ref="A1:H1"/>
    <mergeCell ref="A2:H2"/>
    <mergeCell ref="A3:H3"/>
    <mergeCell ref="A4:H4"/>
    <mergeCell ref="A17:H17"/>
    <mergeCell ref="A20:H20"/>
    <mergeCell ref="A23:H23"/>
    <mergeCell ref="A26:H26"/>
    <mergeCell ref="H6:H7"/>
    <mergeCell ref="A8:H8"/>
    <mergeCell ref="A11:H11"/>
    <mergeCell ref="A14:H14"/>
    <mergeCell ref="A6:A7"/>
    <mergeCell ref="B6:B7"/>
    <mergeCell ref="A41:H41"/>
    <mergeCell ref="A44:H44"/>
    <mergeCell ref="A45:H45"/>
    <mergeCell ref="A46:H46"/>
    <mergeCell ref="A29:H29"/>
    <mergeCell ref="A32:H32"/>
    <mergeCell ref="A35:H35"/>
    <mergeCell ref="A38:H38"/>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7"/>
  <sheetViews>
    <sheetView zoomScalePageLayoutView="0" workbookViewId="0" topLeftCell="A16">
      <selection activeCell="A5" sqref="A5"/>
    </sheetView>
  </sheetViews>
  <sheetFormatPr defaultColWidth="9.140625" defaultRowHeight="12.75"/>
  <cols>
    <col min="1" max="1" width="5.140625" style="1" customWidth="1"/>
    <col min="2" max="2" width="49.8515625" style="1" customWidth="1"/>
    <col min="3" max="6" width="12.8515625" style="1" customWidth="1"/>
    <col min="7" max="8" width="17.7109375" style="1" customWidth="1"/>
    <col min="9" max="9" width="9.7109375" style="9" customWidth="1"/>
    <col min="10" max="10" width="10.421875" style="9" customWidth="1"/>
    <col min="11" max="11" width="9.140625" style="12" customWidth="1"/>
    <col min="12" max="16384" width="9.140625" style="1" customWidth="1"/>
  </cols>
  <sheetData>
    <row r="1" spans="1:8" ht="22.5" customHeight="1">
      <c r="A1" s="21" t="s">
        <v>34</v>
      </c>
      <c r="B1" s="21"/>
      <c r="C1" s="21"/>
      <c r="D1" s="21"/>
      <c r="E1" s="21"/>
      <c r="F1" s="21"/>
      <c r="G1" s="21"/>
      <c r="H1" s="21"/>
    </row>
    <row r="2" spans="1:8" ht="22.5" customHeight="1">
      <c r="A2" s="21" t="s">
        <v>35</v>
      </c>
      <c r="B2" s="21"/>
      <c r="C2" s="21"/>
      <c r="D2" s="21"/>
      <c r="E2" s="21"/>
      <c r="F2" s="21"/>
      <c r="G2" s="21"/>
      <c r="H2" s="21"/>
    </row>
    <row r="3" spans="1:8" ht="36.75" customHeight="1">
      <c r="A3" s="22" t="s">
        <v>36</v>
      </c>
      <c r="B3" s="22"/>
      <c r="C3" s="22"/>
      <c r="D3" s="22"/>
      <c r="E3" s="22"/>
      <c r="F3" s="22"/>
      <c r="G3" s="22"/>
      <c r="H3" s="22"/>
    </row>
    <row r="4" spans="1:8" ht="15">
      <c r="A4" s="22" t="s">
        <v>31</v>
      </c>
      <c r="B4" s="22"/>
      <c r="C4" s="22"/>
      <c r="D4" s="22"/>
      <c r="E4" s="22"/>
      <c r="F4" s="22"/>
      <c r="G4" s="22"/>
      <c r="H4" s="22"/>
    </row>
    <row r="5" spans="1:8" ht="15">
      <c r="A5" s="2"/>
      <c r="B5" s="2"/>
      <c r="C5" s="2"/>
      <c r="D5" s="2"/>
      <c r="E5" s="2"/>
      <c r="F5" s="2"/>
      <c r="G5" s="14" t="s">
        <v>26</v>
      </c>
      <c r="H5" s="2"/>
    </row>
    <row r="6" spans="1:8" ht="40.5" customHeight="1">
      <c r="A6" s="23" t="s">
        <v>1</v>
      </c>
      <c r="B6" s="23" t="s">
        <v>7</v>
      </c>
      <c r="C6" s="25" t="s">
        <v>44</v>
      </c>
      <c r="D6" s="26"/>
      <c r="E6" s="26"/>
      <c r="F6" s="27"/>
      <c r="G6" s="23" t="s">
        <v>15</v>
      </c>
      <c r="H6" s="23" t="s">
        <v>8</v>
      </c>
    </row>
    <row r="7" spans="1:9" ht="26.25">
      <c r="A7" s="24"/>
      <c r="B7" s="24"/>
      <c r="C7" s="4" t="s">
        <v>3</v>
      </c>
      <c r="D7" s="4" t="s">
        <v>5</v>
      </c>
      <c r="E7" s="4" t="s">
        <v>4</v>
      </c>
      <c r="F7" s="4" t="s">
        <v>2</v>
      </c>
      <c r="G7" s="24"/>
      <c r="H7" s="24"/>
      <c r="I7" s="9" t="s">
        <v>28</v>
      </c>
    </row>
    <row r="8" spans="1:8" ht="15">
      <c r="A8" s="18" t="s">
        <v>17</v>
      </c>
      <c r="B8" s="19"/>
      <c r="C8" s="19"/>
      <c r="D8" s="19"/>
      <c r="E8" s="19"/>
      <c r="F8" s="19"/>
      <c r="G8" s="19"/>
      <c r="H8" s="20"/>
    </row>
    <row r="9" spans="1:10" ht="15">
      <c r="A9" s="4">
        <v>1</v>
      </c>
      <c r="B9" s="5" t="s">
        <v>43</v>
      </c>
      <c r="C9" s="6">
        <f>4300+126+500</f>
        <v>4926</v>
      </c>
      <c r="D9" s="6"/>
      <c r="E9" s="6"/>
      <c r="F9" s="6"/>
      <c r="G9" s="6">
        <f>0+1399.54+0+367.11+355.58+0</f>
        <v>2122.23</v>
      </c>
      <c r="H9" s="6">
        <f>C9+D9+E9+F9-G9</f>
        <v>2803.77</v>
      </c>
      <c r="I9" s="9">
        <f>0+1963.44+0+528+455.76+0</f>
        <v>2947.2</v>
      </c>
      <c r="J9" s="11">
        <f>C9-I9</f>
        <v>1978.8000000000002</v>
      </c>
    </row>
    <row r="10" spans="1:10" ht="15">
      <c r="A10" s="4">
        <v>2</v>
      </c>
      <c r="B10" s="5" t="s">
        <v>12</v>
      </c>
      <c r="C10" s="6"/>
      <c r="D10" s="6"/>
      <c r="E10" s="6">
        <v>1170</v>
      </c>
      <c r="F10" s="6"/>
      <c r="G10" s="6">
        <f>468.15+353.52</f>
        <v>821.67</v>
      </c>
      <c r="H10" s="6">
        <f>C10+D10+E10+F10-G10</f>
        <v>348.33000000000004</v>
      </c>
      <c r="I10" s="10">
        <f>506.4+368</f>
        <v>874.4</v>
      </c>
      <c r="J10" s="11">
        <f>E10-I10</f>
        <v>295.6</v>
      </c>
    </row>
    <row r="11" spans="1:8" ht="15">
      <c r="A11" s="18" t="s">
        <v>18</v>
      </c>
      <c r="B11" s="19"/>
      <c r="C11" s="19"/>
      <c r="D11" s="19"/>
      <c r="E11" s="19"/>
      <c r="F11" s="19"/>
      <c r="G11" s="19"/>
      <c r="H11" s="20"/>
    </row>
    <row r="12" spans="1:10" ht="15">
      <c r="A12" s="4">
        <v>1</v>
      </c>
      <c r="B12" s="5" t="s">
        <v>43</v>
      </c>
      <c r="C12" s="6">
        <f>4300+126+500</f>
        <v>4926</v>
      </c>
      <c r="D12" s="6"/>
      <c r="E12" s="6"/>
      <c r="F12" s="6"/>
      <c r="G12" s="6">
        <f>0+1454.08+0+464.46+423.02+0</f>
        <v>2341.56</v>
      </c>
      <c r="H12" s="6">
        <f>C12+D12+E12+F12-G12</f>
        <v>2584.44</v>
      </c>
      <c r="I12" s="9">
        <f>0+2001.24+0+545.52+532.8+0</f>
        <v>3079.5600000000004</v>
      </c>
      <c r="J12" s="11">
        <f>C12-I12</f>
        <v>1846.4399999999996</v>
      </c>
    </row>
    <row r="13" spans="1:10" ht="15">
      <c r="A13" s="4">
        <v>2</v>
      </c>
      <c r="B13" s="5" t="s">
        <v>12</v>
      </c>
      <c r="C13" s="6"/>
      <c r="D13" s="6"/>
      <c r="E13" s="6">
        <v>1170</v>
      </c>
      <c r="F13" s="6"/>
      <c r="G13" s="6">
        <f>474.71+353.74</f>
        <v>828.45</v>
      </c>
      <c r="H13" s="6">
        <f>C13+D13+E13+F13-G13</f>
        <v>341.54999999999995</v>
      </c>
      <c r="I13" s="10">
        <f>499+371.6</f>
        <v>870.6</v>
      </c>
      <c r="J13" s="11">
        <f>E13-I13</f>
        <v>299.4</v>
      </c>
    </row>
    <row r="14" spans="1:8" ht="15">
      <c r="A14" s="18" t="s">
        <v>19</v>
      </c>
      <c r="B14" s="19"/>
      <c r="C14" s="19"/>
      <c r="D14" s="19"/>
      <c r="E14" s="19"/>
      <c r="F14" s="19"/>
      <c r="G14" s="19"/>
      <c r="H14" s="20"/>
    </row>
    <row r="15" spans="1:10" ht="15">
      <c r="A15" s="4">
        <v>1</v>
      </c>
      <c r="B15" s="5" t="s">
        <v>43</v>
      </c>
      <c r="C15" s="6">
        <f>4300+126+500</f>
        <v>4926</v>
      </c>
      <c r="D15" s="6"/>
      <c r="E15" s="6"/>
      <c r="F15" s="6"/>
      <c r="G15" s="6">
        <f>0+460.92+0+498.53+376.79+0</f>
        <v>1336.24</v>
      </c>
      <c r="H15" s="6">
        <f>C15+D15+E15+F15-G15</f>
        <v>3589.76</v>
      </c>
      <c r="I15" s="9">
        <f>0+1401.12+0+596.4+428.16+0</f>
        <v>2425.68</v>
      </c>
      <c r="J15" s="11">
        <f>C15-I15</f>
        <v>2500.32</v>
      </c>
    </row>
    <row r="16" spans="1:10" ht="15">
      <c r="A16" s="4">
        <v>2</v>
      </c>
      <c r="B16" s="5" t="s">
        <v>12</v>
      </c>
      <c r="C16" s="6"/>
      <c r="D16" s="6"/>
      <c r="E16" s="6">
        <v>1170</v>
      </c>
      <c r="F16" s="6"/>
      <c r="G16" s="6">
        <f>476.2+354.54</f>
        <v>830.74</v>
      </c>
      <c r="H16" s="6">
        <f>C16+D16+E16+F16-G16</f>
        <v>339.26</v>
      </c>
      <c r="I16" s="10">
        <f>500.8+366.2</f>
        <v>867</v>
      </c>
      <c r="J16" s="11">
        <f>E16-I16</f>
        <v>303</v>
      </c>
    </row>
    <row r="17" spans="1:8" ht="15">
      <c r="A17" s="18" t="s">
        <v>20</v>
      </c>
      <c r="B17" s="19"/>
      <c r="C17" s="19"/>
      <c r="D17" s="19"/>
      <c r="E17" s="19"/>
      <c r="F17" s="19"/>
      <c r="G17" s="19"/>
      <c r="H17" s="20"/>
    </row>
    <row r="18" spans="1:10" ht="15.75" customHeight="1">
      <c r="A18" s="4">
        <v>1</v>
      </c>
      <c r="B18" s="5" t="s">
        <v>43</v>
      </c>
      <c r="C18" s="6">
        <f>4300+126+500</f>
        <v>4926</v>
      </c>
      <c r="D18" s="6"/>
      <c r="E18" s="6"/>
      <c r="F18" s="6"/>
      <c r="G18" s="6">
        <f>0+339.22+0+493.61+344.91+0</f>
        <v>1177.74</v>
      </c>
      <c r="H18" s="6">
        <f>C18+D18+E18+F18-G18</f>
        <v>3748.26</v>
      </c>
      <c r="I18" s="9">
        <f>0+1629.36+0+569.52+416.88+0</f>
        <v>2615.76</v>
      </c>
      <c r="J18" s="11">
        <f>C18-I18</f>
        <v>2310.24</v>
      </c>
    </row>
    <row r="19" spans="1:10" ht="15">
      <c r="A19" s="4">
        <v>2</v>
      </c>
      <c r="B19" s="5" t="s">
        <v>12</v>
      </c>
      <c r="C19" s="6"/>
      <c r="D19" s="6"/>
      <c r="E19" s="6">
        <v>1170</v>
      </c>
      <c r="F19" s="6"/>
      <c r="G19" s="6">
        <f>440.19+364.81</f>
        <v>805</v>
      </c>
      <c r="H19" s="6">
        <f>C19+D19+E19+F19-G19</f>
        <v>365</v>
      </c>
      <c r="I19" s="10">
        <f>485.4+571.2</f>
        <v>1056.6</v>
      </c>
      <c r="J19" s="11">
        <f>E19-I19</f>
        <v>113.40000000000009</v>
      </c>
    </row>
    <row r="20" spans="1:8" ht="15">
      <c r="A20" s="18" t="s">
        <v>21</v>
      </c>
      <c r="B20" s="19"/>
      <c r="C20" s="19"/>
      <c r="D20" s="19"/>
      <c r="E20" s="19"/>
      <c r="F20" s="19"/>
      <c r="G20" s="19"/>
      <c r="H20" s="20"/>
    </row>
    <row r="21" spans="1:10" ht="15">
      <c r="A21" s="4">
        <v>1</v>
      </c>
      <c r="B21" s="5" t="s">
        <v>43</v>
      </c>
      <c r="C21" s="6">
        <f>4300+126+500</f>
        <v>4926</v>
      </c>
      <c r="D21" s="6"/>
      <c r="E21" s="6"/>
      <c r="F21" s="6"/>
      <c r="G21" s="6">
        <f>0+1203.36+0+479.09+326.35+0</f>
        <v>2008.7999999999997</v>
      </c>
      <c r="H21" s="6">
        <f>C21+D21+E21+F21-G21</f>
        <v>2917.2000000000003</v>
      </c>
      <c r="I21" s="9">
        <f>0+1975.7+0+572.9+410.4+0</f>
        <v>2959</v>
      </c>
      <c r="J21" s="11">
        <f>C21-I21</f>
        <v>1967</v>
      </c>
    </row>
    <row r="22" spans="1:10" ht="15">
      <c r="A22" s="4">
        <v>2</v>
      </c>
      <c r="B22" s="5" t="s">
        <v>12</v>
      </c>
      <c r="C22" s="6"/>
      <c r="D22" s="6"/>
      <c r="E22" s="6">
        <v>1170</v>
      </c>
      <c r="F22" s="6"/>
      <c r="G22" s="6">
        <f>458.74+471.21</f>
        <v>929.95</v>
      </c>
      <c r="H22" s="6">
        <f>C22+D22+E22+F22-G22</f>
        <v>240.04999999999995</v>
      </c>
      <c r="I22" s="10">
        <f>517.6+632.6</f>
        <v>1150.2</v>
      </c>
      <c r="J22" s="11">
        <f>E22-I22</f>
        <v>19.799999999999955</v>
      </c>
    </row>
    <row r="23" spans="1:10" ht="15">
      <c r="A23" s="18" t="s">
        <v>22</v>
      </c>
      <c r="B23" s="19"/>
      <c r="C23" s="19"/>
      <c r="D23" s="19"/>
      <c r="E23" s="19"/>
      <c r="F23" s="19"/>
      <c r="G23" s="19"/>
      <c r="H23" s="20"/>
      <c r="J23" s="11"/>
    </row>
    <row r="24" spans="1:10" ht="15">
      <c r="A24" s="4">
        <v>1</v>
      </c>
      <c r="B24" s="5" t="s">
        <v>43</v>
      </c>
      <c r="C24" s="6">
        <f>4300+126+500</f>
        <v>4926</v>
      </c>
      <c r="D24" s="6"/>
      <c r="E24" s="6"/>
      <c r="F24" s="6"/>
      <c r="G24" s="6">
        <f>0+1483.3+0+417.31+298.26+0</f>
        <v>2198.87</v>
      </c>
      <c r="H24" s="6">
        <f>C24+D24+E24+F24-G24</f>
        <v>2727.13</v>
      </c>
      <c r="I24" s="9">
        <f>0+1997.28+0+546.72+374.4+0</f>
        <v>2918.4</v>
      </c>
      <c r="J24" s="11">
        <f>C24-I24</f>
        <v>2007.6</v>
      </c>
    </row>
    <row r="25" spans="1:10" ht="15">
      <c r="A25" s="4">
        <v>2</v>
      </c>
      <c r="B25" s="5" t="s">
        <v>12</v>
      </c>
      <c r="C25" s="6"/>
      <c r="D25" s="6"/>
      <c r="E25" s="6">
        <v>1170</v>
      </c>
      <c r="F25" s="6"/>
      <c r="G25" s="13">
        <f>467.48+520.85</f>
        <v>988.33</v>
      </c>
      <c r="H25" s="6">
        <f>C25+D25+E25+F25-G25</f>
        <v>181.66999999999996</v>
      </c>
      <c r="I25" s="10">
        <f>507+647</f>
        <v>1154</v>
      </c>
      <c r="J25" s="11">
        <f>E25-I25</f>
        <v>16</v>
      </c>
    </row>
    <row r="26" spans="1:8" ht="15">
      <c r="A26" s="18" t="s">
        <v>23</v>
      </c>
      <c r="B26" s="19"/>
      <c r="C26" s="19"/>
      <c r="D26" s="19"/>
      <c r="E26" s="19"/>
      <c r="F26" s="19"/>
      <c r="G26" s="19"/>
      <c r="H26" s="20"/>
    </row>
    <row r="27" spans="1:10" ht="15">
      <c r="A27" s="4">
        <v>1</v>
      </c>
      <c r="B27" s="5" t="s">
        <v>43</v>
      </c>
      <c r="C27" s="6">
        <f>4300+126+500</f>
        <v>4926</v>
      </c>
      <c r="D27" s="6"/>
      <c r="E27" s="6"/>
      <c r="F27" s="6"/>
      <c r="G27" s="6">
        <f>0+1518.57+0+453.24+256.69+0</f>
        <v>2228.5</v>
      </c>
      <c r="H27" s="6">
        <f>C27+D27+E27+F27-G27</f>
        <v>2697.5</v>
      </c>
      <c r="I27" s="9">
        <f>0+1929.24+0+605.3+334.1+0</f>
        <v>2868.64</v>
      </c>
      <c r="J27" s="11">
        <f>C27-I27</f>
        <v>2057.36</v>
      </c>
    </row>
    <row r="28" spans="1:10" ht="15">
      <c r="A28" s="4">
        <v>2</v>
      </c>
      <c r="B28" s="5" t="s">
        <v>12</v>
      </c>
      <c r="C28" s="6"/>
      <c r="D28" s="6"/>
      <c r="E28" s="6">
        <v>1170</v>
      </c>
      <c r="F28" s="6"/>
      <c r="G28" s="13">
        <f>497.17+597.05</f>
        <v>1094.22</v>
      </c>
      <c r="H28" s="6">
        <f>C28+D28+E28+F28-G28</f>
        <v>75.77999999999997</v>
      </c>
      <c r="I28" s="10">
        <f>518.8+699.8</f>
        <v>1218.6</v>
      </c>
      <c r="J28" s="15">
        <f>E28-I28</f>
        <v>-48.59999999999991</v>
      </c>
    </row>
    <row r="29" spans="1:8" ht="15">
      <c r="A29" s="18" t="s">
        <v>24</v>
      </c>
      <c r="B29" s="19"/>
      <c r="C29" s="19"/>
      <c r="D29" s="19"/>
      <c r="E29" s="19"/>
      <c r="F29" s="19"/>
      <c r="G29" s="19"/>
      <c r="H29" s="20"/>
    </row>
    <row r="30" spans="1:10" ht="15">
      <c r="A30" s="4">
        <v>1</v>
      </c>
      <c r="B30" s="5" t="s">
        <v>43</v>
      </c>
      <c r="C30" s="6">
        <f>4300+126+500</f>
        <v>4926</v>
      </c>
      <c r="D30" s="6"/>
      <c r="E30" s="6"/>
      <c r="F30" s="6"/>
      <c r="G30" s="6">
        <f>0+1335.26+0+500.3+256.73+0</f>
        <v>2092.29</v>
      </c>
      <c r="H30" s="6">
        <f>C30+D30+E30+F30-G30</f>
        <v>2833.71</v>
      </c>
      <c r="I30" s="9">
        <f>0+1816.92+0+584.16+325.2+0</f>
        <v>2726.2799999999997</v>
      </c>
      <c r="J30" s="11">
        <f>C30-I30</f>
        <v>2199.7200000000003</v>
      </c>
    </row>
    <row r="31" spans="1:10" ht="15.75" customHeight="1">
      <c r="A31" s="4">
        <v>2</v>
      </c>
      <c r="B31" s="5" t="s">
        <v>12</v>
      </c>
      <c r="C31" s="6"/>
      <c r="D31" s="6"/>
      <c r="E31" s="6">
        <v>1170</v>
      </c>
      <c r="F31" s="6"/>
      <c r="G31" s="6">
        <f>489.83+609.71</f>
        <v>1099.54</v>
      </c>
      <c r="H31" s="6">
        <f>C31+D31+E31+F31-G31</f>
        <v>70.46000000000004</v>
      </c>
      <c r="I31" s="9">
        <f>609.71+744</f>
        <v>1353.71</v>
      </c>
      <c r="J31" s="15">
        <f>E31-I31</f>
        <v>-183.71000000000004</v>
      </c>
    </row>
    <row r="32" spans="1:8" ht="15">
      <c r="A32" s="18" t="s">
        <v>9</v>
      </c>
      <c r="B32" s="19"/>
      <c r="C32" s="19"/>
      <c r="D32" s="19"/>
      <c r="E32" s="19"/>
      <c r="F32" s="19"/>
      <c r="G32" s="19"/>
      <c r="H32" s="20"/>
    </row>
    <row r="33" spans="1:10" ht="15">
      <c r="A33" s="4">
        <v>1</v>
      </c>
      <c r="B33" s="5" t="s">
        <v>43</v>
      </c>
      <c r="C33" s="6">
        <f>4300+126+500</f>
        <v>4926</v>
      </c>
      <c r="D33" s="6"/>
      <c r="E33" s="6"/>
      <c r="F33" s="6"/>
      <c r="G33" s="6">
        <f>0+961.96+0+453.73+274.42+0</f>
        <v>1690.1100000000001</v>
      </c>
      <c r="H33" s="6">
        <f>C33+D33+E33+F33-G33</f>
        <v>3235.89</v>
      </c>
      <c r="I33" s="9">
        <f>0+1824.5+0+566.2+326.9+0</f>
        <v>2717.6</v>
      </c>
      <c r="J33" s="11">
        <f>C33-I33</f>
        <v>2208.4</v>
      </c>
    </row>
    <row r="34" spans="1:10" ht="15.75" customHeight="1">
      <c r="A34" s="4">
        <v>2</v>
      </c>
      <c r="B34" s="5" t="s">
        <v>12</v>
      </c>
      <c r="C34" s="6"/>
      <c r="D34" s="6"/>
      <c r="E34" s="6">
        <v>1170</v>
      </c>
      <c r="F34" s="6"/>
      <c r="G34" s="6">
        <f>461.75+488.01</f>
        <v>949.76</v>
      </c>
      <c r="H34" s="6">
        <f>C34+D34+E34+F34-G34</f>
        <v>220.24</v>
      </c>
      <c r="I34" s="9">
        <f>484.4+616.2</f>
        <v>1100.6</v>
      </c>
      <c r="J34" s="11">
        <f>E34-I34</f>
        <v>69.40000000000009</v>
      </c>
    </row>
    <row r="35" spans="1:8" ht="15">
      <c r="A35" s="18" t="s">
        <v>10</v>
      </c>
      <c r="B35" s="19"/>
      <c r="C35" s="19"/>
      <c r="D35" s="19"/>
      <c r="E35" s="19"/>
      <c r="F35" s="19"/>
      <c r="G35" s="19"/>
      <c r="H35" s="20"/>
    </row>
    <row r="36" spans="1:10" ht="15.75" customHeight="1">
      <c r="A36" s="4">
        <v>1</v>
      </c>
      <c r="B36" s="5" t="s">
        <v>43</v>
      </c>
      <c r="C36" s="6">
        <f>4300+126+500</f>
        <v>4926</v>
      </c>
      <c r="D36" s="6"/>
      <c r="E36" s="6"/>
      <c r="F36" s="6"/>
      <c r="G36" s="6">
        <f>0+1525.29+0+496.18+354.55+0</f>
        <v>2376.02</v>
      </c>
      <c r="H36" s="6">
        <f>C36+D36+E36+F36-G36</f>
        <v>2549.98</v>
      </c>
      <c r="I36" s="9">
        <f>0+1927.08+0+620.16+430.08+0</f>
        <v>2977.3199999999997</v>
      </c>
      <c r="J36" s="11">
        <f>C36-I36</f>
        <v>1948.6800000000003</v>
      </c>
    </row>
    <row r="37" spans="1:10" ht="15.75" customHeight="1">
      <c r="A37" s="4">
        <v>2</v>
      </c>
      <c r="B37" s="5" t="s">
        <v>12</v>
      </c>
      <c r="C37" s="6"/>
      <c r="D37" s="6"/>
      <c r="E37" s="6">
        <v>1170</v>
      </c>
      <c r="F37" s="6"/>
      <c r="G37" s="6">
        <f>430.17+354.34</f>
        <v>784.51</v>
      </c>
      <c r="H37" s="6">
        <f>C37+D37+E37+F37-G37</f>
        <v>385.49</v>
      </c>
      <c r="I37" s="9">
        <f>452.6+369.6</f>
        <v>822.2</v>
      </c>
      <c r="J37" s="11">
        <f>E37-I37</f>
        <v>347.79999999999995</v>
      </c>
    </row>
    <row r="38" spans="1:8" ht="15">
      <c r="A38" s="18" t="s">
        <v>13</v>
      </c>
      <c r="B38" s="19"/>
      <c r="C38" s="19"/>
      <c r="D38" s="19"/>
      <c r="E38" s="19"/>
      <c r="F38" s="19"/>
      <c r="G38" s="19"/>
      <c r="H38" s="20"/>
    </row>
    <row r="39" spans="1:10" ht="15">
      <c r="A39" s="4">
        <v>1</v>
      </c>
      <c r="B39" s="5" t="s">
        <v>43</v>
      </c>
      <c r="C39" s="6">
        <f>4300+126+500</f>
        <v>4926</v>
      </c>
      <c r="D39" s="6"/>
      <c r="E39" s="6"/>
      <c r="F39" s="6"/>
      <c r="G39" s="6">
        <f>0+1213.09+0+477.11+408.31+0</f>
        <v>2098.5099999999998</v>
      </c>
      <c r="H39" s="6">
        <f>C39+D39+E39+F39-G39</f>
        <v>2827.4900000000002</v>
      </c>
      <c r="I39" s="9">
        <f>0+1895.8+0+574.8+511.2+0</f>
        <v>2981.7999999999997</v>
      </c>
      <c r="J39" s="11">
        <f>C39-I39</f>
        <v>1944.2000000000003</v>
      </c>
    </row>
    <row r="40" spans="1:10" ht="15">
      <c r="A40" s="4">
        <v>2</v>
      </c>
      <c r="B40" s="5" t="s">
        <v>12</v>
      </c>
      <c r="C40" s="6"/>
      <c r="D40" s="6"/>
      <c r="E40" s="6">
        <v>1170</v>
      </c>
      <c r="F40" s="6"/>
      <c r="G40" s="6">
        <f>421.84+359.65</f>
        <v>781.49</v>
      </c>
      <c r="H40" s="6">
        <f>C40+D40+E40+F40-G40</f>
        <v>388.51</v>
      </c>
      <c r="I40" s="10">
        <f>453.4+374.6</f>
        <v>828</v>
      </c>
      <c r="J40" s="11">
        <f>E40-I40</f>
        <v>342</v>
      </c>
    </row>
    <row r="41" spans="1:8" ht="15">
      <c r="A41" s="18" t="s">
        <v>14</v>
      </c>
      <c r="B41" s="19"/>
      <c r="C41" s="19"/>
      <c r="D41" s="19"/>
      <c r="E41" s="19"/>
      <c r="F41" s="19"/>
      <c r="G41" s="19"/>
      <c r="H41" s="20"/>
    </row>
    <row r="42" spans="1:10" ht="15">
      <c r="A42" s="4">
        <v>1</v>
      </c>
      <c r="B42" s="5" t="s">
        <v>43</v>
      </c>
      <c r="C42" s="6">
        <f>4300+126+500</f>
        <v>4926</v>
      </c>
      <c r="D42" s="6"/>
      <c r="E42" s="6"/>
      <c r="F42" s="6"/>
      <c r="G42" s="6">
        <f>0+1627.99+137.06+0+414.81+0</f>
        <v>2179.86</v>
      </c>
      <c r="H42" s="6">
        <f>C42+D42+E42+F42-G42</f>
        <v>2746.14</v>
      </c>
      <c r="I42" s="9">
        <f>0+2004.84+462.48+473.04+3</f>
        <v>2943.3599999999997</v>
      </c>
      <c r="J42" s="11">
        <f>C42-I42</f>
        <v>1982.6400000000003</v>
      </c>
    </row>
    <row r="43" spans="1:10" ht="15">
      <c r="A43" s="4">
        <v>2</v>
      </c>
      <c r="B43" s="5" t="s">
        <v>12</v>
      </c>
      <c r="C43" s="6"/>
      <c r="D43" s="6"/>
      <c r="E43" s="6">
        <v>1170</v>
      </c>
      <c r="F43" s="6"/>
      <c r="G43" s="6">
        <f>445.35+369.4</f>
        <v>814.75</v>
      </c>
      <c r="H43" s="6">
        <f>C43+D43+E43+F43-G43</f>
        <v>355.25</v>
      </c>
      <c r="I43" s="10">
        <f>477+391</f>
        <v>868</v>
      </c>
      <c r="J43" s="11">
        <f>E43-I43</f>
        <v>302</v>
      </c>
    </row>
    <row r="44" spans="1:8" ht="15">
      <c r="A44" s="4"/>
      <c r="B44" s="4"/>
      <c r="C44" s="6"/>
      <c r="D44" s="6"/>
      <c r="E44" s="6"/>
      <c r="F44" s="6"/>
      <c r="G44" s="6"/>
      <c r="H44" s="6"/>
    </row>
    <row r="45" spans="1:8" ht="28.5" customHeight="1">
      <c r="A45" s="17" t="s">
        <v>16</v>
      </c>
      <c r="B45" s="17"/>
      <c r="C45" s="17"/>
      <c r="D45" s="17"/>
      <c r="E45" s="17"/>
      <c r="F45" s="17"/>
      <c r="G45" s="17"/>
      <c r="H45" s="17"/>
    </row>
    <row r="46" spans="1:8" ht="15" customHeight="1">
      <c r="A46" s="17" t="s">
        <v>37</v>
      </c>
      <c r="B46" s="17"/>
      <c r="C46" s="17"/>
      <c r="D46" s="17"/>
      <c r="E46" s="17"/>
      <c r="F46" s="17"/>
      <c r="G46" s="17"/>
      <c r="H46" s="17"/>
    </row>
    <row r="47" spans="1:8" ht="15">
      <c r="A47" s="17"/>
      <c r="B47" s="17"/>
      <c r="C47" s="17"/>
      <c r="D47" s="17"/>
      <c r="E47" s="17"/>
      <c r="F47" s="17"/>
      <c r="G47" s="17"/>
      <c r="H47" s="17"/>
    </row>
  </sheetData>
  <sheetProtection/>
  <mergeCells count="24">
    <mergeCell ref="C6:F6"/>
    <mergeCell ref="G6:G7"/>
    <mergeCell ref="A1:H1"/>
    <mergeCell ref="A2:H2"/>
    <mergeCell ref="A3:H3"/>
    <mergeCell ref="A4:H4"/>
    <mergeCell ref="A17:H17"/>
    <mergeCell ref="A20:H20"/>
    <mergeCell ref="A23:H23"/>
    <mergeCell ref="A26:H26"/>
    <mergeCell ref="H6:H7"/>
    <mergeCell ref="A8:H8"/>
    <mergeCell ref="A11:H11"/>
    <mergeCell ref="A14:H14"/>
    <mergeCell ref="A6:A7"/>
    <mergeCell ref="B6:B7"/>
    <mergeCell ref="A41:H41"/>
    <mergeCell ref="A45:H45"/>
    <mergeCell ref="A46:H46"/>
    <mergeCell ref="A47:H47"/>
    <mergeCell ref="A29:H29"/>
    <mergeCell ref="A32:H32"/>
    <mergeCell ref="A35:H35"/>
    <mergeCell ref="A38:H3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47"/>
  <sheetViews>
    <sheetView zoomScale="85" zoomScaleNormal="85" zoomScalePageLayoutView="0" workbookViewId="0" topLeftCell="A1">
      <selection activeCell="G9" sqref="G9"/>
    </sheetView>
  </sheetViews>
  <sheetFormatPr defaultColWidth="9.140625" defaultRowHeight="12.75"/>
  <cols>
    <col min="1" max="1" width="5.140625" style="1" customWidth="1"/>
    <col min="2" max="2" width="49.8515625" style="1" customWidth="1"/>
    <col min="3" max="6" width="12.8515625" style="1" customWidth="1"/>
    <col min="7" max="8" width="17.7109375" style="1" customWidth="1"/>
    <col min="9" max="9" width="9.7109375" style="9" customWidth="1"/>
    <col min="10" max="10" width="10.421875" style="9" customWidth="1"/>
    <col min="11" max="11" width="9.140625" style="12" customWidth="1"/>
    <col min="12" max="16384" width="9.140625" style="1" customWidth="1"/>
  </cols>
  <sheetData>
    <row r="1" spans="1:8" ht="22.5" customHeight="1">
      <c r="A1" s="21" t="s">
        <v>34</v>
      </c>
      <c r="B1" s="21"/>
      <c r="C1" s="21"/>
      <c r="D1" s="21"/>
      <c r="E1" s="21"/>
      <c r="F1" s="21"/>
      <c r="G1" s="21"/>
      <c r="H1" s="21"/>
    </row>
    <row r="2" spans="1:8" ht="22.5" customHeight="1">
      <c r="A2" s="21" t="s">
        <v>35</v>
      </c>
      <c r="B2" s="21"/>
      <c r="C2" s="21"/>
      <c r="D2" s="21"/>
      <c r="E2" s="21"/>
      <c r="F2" s="21"/>
      <c r="G2" s="21"/>
      <c r="H2" s="21"/>
    </row>
    <row r="3" spans="1:8" ht="36.75" customHeight="1">
      <c r="A3" s="22" t="s">
        <v>36</v>
      </c>
      <c r="B3" s="22"/>
      <c r="C3" s="22"/>
      <c r="D3" s="22"/>
      <c r="E3" s="22"/>
      <c r="F3" s="22"/>
      <c r="G3" s="22"/>
      <c r="H3" s="22"/>
    </row>
    <row r="4" spans="1:8" ht="15">
      <c r="A4" s="22" t="s">
        <v>30</v>
      </c>
      <c r="B4" s="22"/>
      <c r="C4" s="22"/>
      <c r="D4" s="22"/>
      <c r="E4" s="22"/>
      <c r="F4" s="22"/>
      <c r="G4" s="22"/>
      <c r="H4" s="22"/>
    </row>
    <row r="5" spans="1:8" ht="15">
      <c r="A5" s="2"/>
      <c r="B5" s="2"/>
      <c r="C5" s="2"/>
      <c r="D5" s="2"/>
      <c r="E5" s="2"/>
      <c r="F5" s="2"/>
      <c r="G5" s="14" t="s">
        <v>26</v>
      </c>
      <c r="H5" s="2"/>
    </row>
    <row r="6" spans="1:8" ht="40.5" customHeight="1">
      <c r="A6" s="23" t="s">
        <v>1</v>
      </c>
      <c r="B6" s="23" t="s">
        <v>7</v>
      </c>
      <c r="C6" s="25" t="s">
        <v>44</v>
      </c>
      <c r="D6" s="26"/>
      <c r="E6" s="26"/>
      <c r="F6" s="27"/>
      <c r="G6" s="23" t="s">
        <v>15</v>
      </c>
      <c r="H6" s="23" t="s">
        <v>8</v>
      </c>
    </row>
    <row r="7" spans="1:9" ht="26.25">
      <c r="A7" s="24"/>
      <c r="B7" s="24"/>
      <c r="C7" s="4" t="s">
        <v>3</v>
      </c>
      <c r="D7" s="4" t="s">
        <v>5</v>
      </c>
      <c r="E7" s="4" t="s">
        <v>4</v>
      </c>
      <c r="F7" s="4" t="s">
        <v>2</v>
      </c>
      <c r="G7" s="24"/>
      <c r="H7" s="24"/>
      <c r="I7" s="9" t="s">
        <v>28</v>
      </c>
    </row>
    <row r="8" spans="1:8" ht="15">
      <c r="A8" s="18" t="s">
        <v>17</v>
      </c>
      <c r="B8" s="19"/>
      <c r="C8" s="19"/>
      <c r="D8" s="19"/>
      <c r="E8" s="19"/>
      <c r="F8" s="19"/>
      <c r="G8" s="19"/>
      <c r="H8" s="20"/>
    </row>
    <row r="9" spans="1:10" ht="15">
      <c r="A9" s="4">
        <v>1</v>
      </c>
      <c r="B9" s="5" t="s">
        <v>43</v>
      </c>
      <c r="C9" s="6">
        <f>4300+126+500</f>
        <v>4926</v>
      </c>
      <c r="D9" s="6"/>
      <c r="E9" s="6"/>
      <c r="F9" s="6"/>
      <c r="G9" s="6">
        <f>0+473.17+0+355.38+298.67+0</f>
        <v>1127.22</v>
      </c>
      <c r="H9" s="6">
        <f>C9+D9+E9+F9-G9</f>
        <v>3798.7799999999997</v>
      </c>
      <c r="I9" s="9">
        <f>0+1215+0+469.92+387.84+0</f>
        <v>2072.76</v>
      </c>
      <c r="J9" s="11">
        <f>C9-I9</f>
        <v>2853.24</v>
      </c>
    </row>
    <row r="10" spans="1:10" ht="15">
      <c r="A10" s="4">
        <v>2</v>
      </c>
      <c r="B10" s="5" t="s">
        <v>12</v>
      </c>
      <c r="C10" s="6"/>
      <c r="D10" s="6"/>
      <c r="E10" s="6">
        <v>1170</v>
      </c>
      <c r="F10" s="6"/>
      <c r="G10" s="6">
        <f>482.68+366.48</f>
        <v>849.1600000000001</v>
      </c>
      <c r="H10" s="6">
        <f>C10+D10+E10+F10-G10</f>
        <v>320.8399999999999</v>
      </c>
      <c r="I10" s="10">
        <f>531.6+386.8</f>
        <v>918.4000000000001</v>
      </c>
      <c r="J10" s="11">
        <f>E10-I10</f>
        <v>251.5999999999999</v>
      </c>
    </row>
    <row r="11" spans="1:8" ht="15">
      <c r="A11" s="18" t="s">
        <v>18</v>
      </c>
      <c r="B11" s="19"/>
      <c r="C11" s="19"/>
      <c r="D11" s="19"/>
      <c r="E11" s="19"/>
      <c r="F11" s="19"/>
      <c r="G11" s="19"/>
      <c r="H11" s="20"/>
    </row>
    <row r="12" spans="1:10" ht="15">
      <c r="A12" s="4">
        <v>1</v>
      </c>
      <c r="B12" s="5" t="s">
        <v>43</v>
      </c>
      <c r="C12" s="6">
        <f>4300+126+500</f>
        <v>4926</v>
      </c>
      <c r="D12" s="6"/>
      <c r="E12" s="6"/>
      <c r="F12" s="6"/>
      <c r="G12" s="6">
        <f>0+77.41+0+352.85+253.6+0</f>
        <v>683.86</v>
      </c>
      <c r="H12" s="6">
        <f>C12+D12+E12+F12-G12</f>
        <v>4242.14</v>
      </c>
      <c r="I12" s="9">
        <f>0+157+0+438.5+359+0</f>
        <v>954.5</v>
      </c>
      <c r="J12" s="11">
        <f>C12-I12</f>
        <v>3971.5</v>
      </c>
    </row>
    <row r="13" spans="1:10" ht="15">
      <c r="A13" s="4">
        <v>2</v>
      </c>
      <c r="B13" s="5" t="s">
        <v>12</v>
      </c>
      <c r="C13" s="6"/>
      <c r="D13" s="6"/>
      <c r="E13" s="6">
        <v>1170</v>
      </c>
      <c r="F13" s="6"/>
      <c r="G13" s="6">
        <f>442.28+345.81</f>
        <v>788.0899999999999</v>
      </c>
      <c r="H13" s="6">
        <f>C13+D13+E13+F13-G13</f>
        <v>381.9100000000001</v>
      </c>
      <c r="I13" s="10">
        <f>500+388.4</f>
        <v>888.4</v>
      </c>
      <c r="J13" s="11">
        <f>E13-I13</f>
        <v>281.6</v>
      </c>
    </row>
    <row r="14" spans="1:8" ht="15">
      <c r="A14" s="18" t="s">
        <v>19</v>
      </c>
      <c r="B14" s="19"/>
      <c r="C14" s="19"/>
      <c r="D14" s="19"/>
      <c r="E14" s="19"/>
      <c r="F14" s="19"/>
      <c r="G14" s="19"/>
      <c r="H14" s="20"/>
    </row>
    <row r="15" spans="1:10" ht="15">
      <c r="A15" s="4">
        <v>1</v>
      </c>
      <c r="B15" s="5" t="s">
        <v>43</v>
      </c>
      <c r="C15" s="6">
        <f>4300+126+500</f>
        <v>4926</v>
      </c>
      <c r="D15" s="6"/>
      <c r="E15" s="6"/>
      <c r="F15" s="6"/>
      <c r="G15" s="6">
        <f>0+553.41+0+389.16+285.82+0</f>
        <v>1228.3899999999999</v>
      </c>
      <c r="H15" s="6">
        <f>C15+D15+E15+F15-G15</f>
        <v>3697.61</v>
      </c>
      <c r="I15" s="9">
        <f>0+1517.04+0+470.4+346.8+0</f>
        <v>2334.2400000000002</v>
      </c>
      <c r="J15" s="11">
        <f>C15-I15</f>
        <v>2591.7599999999998</v>
      </c>
    </row>
    <row r="16" spans="1:10" ht="15">
      <c r="A16" s="4">
        <v>2</v>
      </c>
      <c r="B16" s="5" t="s">
        <v>12</v>
      </c>
      <c r="C16" s="6"/>
      <c r="D16" s="6"/>
      <c r="E16" s="6">
        <v>1170</v>
      </c>
      <c r="F16" s="6"/>
      <c r="G16" s="6">
        <f>484.3+377.55</f>
        <v>861.85</v>
      </c>
      <c r="H16" s="6">
        <f>C16+D16+E16+F16-G16</f>
        <v>308.15</v>
      </c>
      <c r="I16" s="10">
        <f>502+394.6</f>
        <v>896.6</v>
      </c>
      <c r="J16" s="11">
        <f>E16-I16</f>
        <v>273.4</v>
      </c>
    </row>
    <row r="17" spans="1:8" ht="15">
      <c r="A17" s="18" t="s">
        <v>20</v>
      </c>
      <c r="B17" s="19"/>
      <c r="C17" s="19"/>
      <c r="D17" s="19"/>
      <c r="E17" s="19"/>
      <c r="F17" s="19"/>
      <c r="G17" s="19"/>
      <c r="H17" s="20"/>
    </row>
    <row r="18" spans="1:10" ht="15.75" customHeight="1">
      <c r="A18" s="4">
        <v>1</v>
      </c>
      <c r="B18" s="5" t="s">
        <v>43</v>
      </c>
      <c r="C18" s="6">
        <f>4300+126+500</f>
        <v>4926</v>
      </c>
      <c r="D18" s="6"/>
      <c r="E18" s="6"/>
      <c r="F18" s="6"/>
      <c r="G18" s="6">
        <f>0+583.89+0+372.63+250.06+0</f>
        <v>1206.58</v>
      </c>
      <c r="H18" s="6">
        <f>C18+D18+E18+F18-G18</f>
        <v>3719.42</v>
      </c>
      <c r="I18" s="9">
        <f>0+1479.6+0+439.44+330.72+0</f>
        <v>2249.76</v>
      </c>
      <c r="J18" s="11">
        <f>C18-I18</f>
        <v>2676.24</v>
      </c>
    </row>
    <row r="19" spans="1:10" ht="15">
      <c r="A19" s="4">
        <v>2</v>
      </c>
      <c r="B19" s="5" t="s">
        <v>12</v>
      </c>
      <c r="C19" s="6"/>
      <c r="D19" s="6"/>
      <c r="E19" s="6">
        <v>1170</v>
      </c>
      <c r="F19" s="6"/>
      <c r="G19" s="6">
        <f>479.59+361.5</f>
        <v>841.0899999999999</v>
      </c>
      <c r="H19" s="6">
        <f>C19+D19+E19+F19-G19</f>
        <v>328.9100000000001</v>
      </c>
      <c r="I19" s="10">
        <f>511+410.6</f>
        <v>921.6</v>
      </c>
      <c r="J19" s="11">
        <f>E19-I19</f>
        <v>248.39999999999998</v>
      </c>
    </row>
    <row r="20" spans="1:8" ht="15">
      <c r="A20" s="18" t="s">
        <v>21</v>
      </c>
      <c r="B20" s="19"/>
      <c r="C20" s="19"/>
      <c r="D20" s="19"/>
      <c r="E20" s="19"/>
      <c r="F20" s="19"/>
      <c r="G20" s="19"/>
      <c r="H20" s="20"/>
    </row>
    <row r="21" spans="1:10" ht="15">
      <c r="A21" s="4">
        <v>1</v>
      </c>
      <c r="B21" s="5" t="s">
        <v>43</v>
      </c>
      <c r="C21" s="6">
        <f>4300+126+500</f>
        <v>4926</v>
      </c>
      <c r="D21" s="6"/>
      <c r="E21" s="6"/>
      <c r="F21" s="6"/>
      <c r="G21" s="6">
        <f>0+627.97+0+265.72+243.51+0</f>
        <v>1137.2</v>
      </c>
      <c r="H21" s="6">
        <f>C21+D21+E21+F21-G21</f>
        <v>3788.8</v>
      </c>
      <c r="I21" s="9">
        <f>0+1531.08+0+410.16+324.96+0</f>
        <v>2266.2</v>
      </c>
      <c r="J21" s="11">
        <f>C21-I21</f>
        <v>2659.8</v>
      </c>
    </row>
    <row r="22" spans="1:10" ht="15">
      <c r="A22" s="4">
        <v>2</v>
      </c>
      <c r="B22" s="5" t="s">
        <v>12</v>
      </c>
      <c r="C22" s="6"/>
      <c r="D22" s="6"/>
      <c r="E22" s="6">
        <v>1170</v>
      </c>
      <c r="F22" s="6"/>
      <c r="G22" s="6">
        <f>506.15+458.09</f>
        <v>964.24</v>
      </c>
      <c r="H22" s="6">
        <f>C22+D22+E22+F22-G22</f>
        <v>205.76</v>
      </c>
      <c r="I22" s="10">
        <f>529+582.4</f>
        <v>1111.4</v>
      </c>
      <c r="J22" s="11">
        <f>E22-I22</f>
        <v>58.59999999999991</v>
      </c>
    </row>
    <row r="23" spans="1:10" ht="15">
      <c r="A23" s="18" t="s">
        <v>22</v>
      </c>
      <c r="B23" s="19"/>
      <c r="C23" s="19"/>
      <c r="D23" s="19"/>
      <c r="E23" s="19"/>
      <c r="F23" s="19"/>
      <c r="G23" s="19"/>
      <c r="H23" s="20"/>
      <c r="J23" s="11"/>
    </row>
    <row r="24" spans="1:10" ht="15">
      <c r="A24" s="4">
        <v>1</v>
      </c>
      <c r="B24" s="5" t="s">
        <v>43</v>
      </c>
      <c r="C24" s="6">
        <f>4300+126+500</f>
        <v>4926</v>
      </c>
      <c r="D24" s="6"/>
      <c r="E24" s="6"/>
      <c r="F24" s="6"/>
      <c r="G24" s="13">
        <f>0+54.7+0+350.3+222.3+0</f>
        <v>627.3</v>
      </c>
      <c r="H24" s="6">
        <f>C24+D24+E24+F24-G24</f>
        <v>4298.7</v>
      </c>
      <c r="I24" s="9">
        <f>0+193.32+0+439+279.36+0</f>
        <v>911.68</v>
      </c>
      <c r="J24" s="11">
        <f>C24-I24</f>
        <v>4014.32</v>
      </c>
    </row>
    <row r="25" spans="1:10" ht="15">
      <c r="A25" s="4">
        <v>2</v>
      </c>
      <c r="B25" s="5" t="s">
        <v>12</v>
      </c>
      <c r="C25" s="6"/>
      <c r="D25" s="6"/>
      <c r="E25" s="6">
        <v>1170</v>
      </c>
      <c r="F25" s="6"/>
      <c r="G25" s="13">
        <f>511.81+538.99</f>
        <v>1050.8</v>
      </c>
      <c r="H25" s="6">
        <f>C25+D25+E25+F25-G25</f>
        <v>119.20000000000005</v>
      </c>
      <c r="I25" s="10">
        <f>556.8+664.2</f>
        <v>1221</v>
      </c>
      <c r="J25" s="11">
        <f>E25-I25</f>
        <v>-51</v>
      </c>
    </row>
    <row r="26" spans="1:8" ht="15">
      <c r="A26" s="18" t="s">
        <v>23</v>
      </c>
      <c r="B26" s="19"/>
      <c r="C26" s="19"/>
      <c r="D26" s="19"/>
      <c r="E26" s="19"/>
      <c r="F26" s="19"/>
      <c r="G26" s="19"/>
      <c r="H26" s="20"/>
    </row>
    <row r="27" spans="1:10" ht="15">
      <c r="A27" s="4">
        <v>1</v>
      </c>
      <c r="B27" s="5" t="s">
        <v>43</v>
      </c>
      <c r="C27" s="6">
        <f>4300+126+500</f>
        <v>4926</v>
      </c>
      <c r="D27" s="6"/>
      <c r="E27" s="6"/>
      <c r="F27" s="6"/>
      <c r="G27" s="6">
        <f>0+705.65+0+363.85+209.22+0</f>
        <v>1278.72</v>
      </c>
      <c r="H27" s="6">
        <f>C27+D27+E27+F27-G27</f>
        <v>3647.2799999999997</v>
      </c>
      <c r="I27" s="9">
        <f>1356.84+0+441.84+270.24+0</f>
        <v>2068.92</v>
      </c>
      <c r="J27" s="11">
        <f>C27-I27</f>
        <v>2857.08</v>
      </c>
    </row>
    <row r="28" spans="1:10" ht="15">
      <c r="A28" s="4">
        <v>2</v>
      </c>
      <c r="B28" s="5" t="s">
        <v>12</v>
      </c>
      <c r="C28" s="6"/>
      <c r="D28" s="6"/>
      <c r="E28" s="6">
        <v>1170</v>
      </c>
      <c r="F28" s="6"/>
      <c r="G28" s="6">
        <f>529.97+591.21</f>
        <v>1121.18</v>
      </c>
      <c r="H28" s="6">
        <f>C28+D28+E28+F28-G28</f>
        <v>48.819999999999936</v>
      </c>
      <c r="I28" s="9">
        <f>609.2+714.4</f>
        <v>1323.6</v>
      </c>
      <c r="J28" s="11">
        <f>E28-I28</f>
        <v>-153.5999999999999</v>
      </c>
    </row>
    <row r="29" spans="1:8" ht="15">
      <c r="A29" s="18" t="s">
        <v>24</v>
      </c>
      <c r="B29" s="19"/>
      <c r="C29" s="19"/>
      <c r="D29" s="19"/>
      <c r="E29" s="19"/>
      <c r="F29" s="19"/>
      <c r="G29" s="19"/>
      <c r="H29" s="20"/>
    </row>
    <row r="30" spans="1:10" ht="15">
      <c r="A30" s="4">
        <v>1</v>
      </c>
      <c r="B30" s="5" t="s">
        <v>43</v>
      </c>
      <c r="C30" s="6">
        <f>4300+126+500</f>
        <v>4926</v>
      </c>
      <c r="D30" s="6"/>
      <c r="E30" s="6"/>
      <c r="F30" s="6"/>
      <c r="G30" s="6">
        <f>0+179.92+0+379.8+213.42+0</f>
        <v>773.14</v>
      </c>
      <c r="H30" s="6">
        <f>C30+D30+E30+F30-G30</f>
        <v>4152.86</v>
      </c>
      <c r="I30" s="9">
        <f>988.56+0+435.36+270.4+0</f>
        <v>1694.3200000000002</v>
      </c>
      <c r="J30" s="11">
        <f>C30-I30</f>
        <v>3231.68</v>
      </c>
    </row>
    <row r="31" spans="1:10" ht="15.75" customHeight="1">
      <c r="A31" s="4">
        <v>2</v>
      </c>
      <c r="B31" s="5" t="s">
        <v>12</v>
      </c>
      <c r="C31" s="6"/>
      <c r="D31" s="6"/>
      <c r="E31" s="6">
        <v>1170</v>
      </c>
      <c r="F31" s="6"/>
      <c r="G31" s="6">
        <f>556.32+602.71</f>
        <v>1159.0300000000002</v>
      </c>
      <c r="H31" s="6">
        <f>C31+D31+E31+F31-G31</f>
        <v>10.9699999999998</v>
      </c>
      <c r="I31" s="9">
        <f>898+1748</f>
        <v>2646</v>
      </c>
      <c r="J31" s="11">
        <f>E31-I31</f>
        <v>-1476</v>
      </c>
    </row>
    <row r="32" spans="1:8" ht="15">
      <c r="A32" s="18" t="s">
        <v>9</v>
      </c>
      <c r="B32" s="19"/>
      <c r="C32" s="19"/>
      <c r="D32" s="19"/>
      <c r="E32" s="19"/>
      <c r="F32" s="19"/>
      <c r="G32" s="19"/>
      <c r="H32" s="20"/>
    </row>
    <row r="33" spans="1:10" ht="15">
      <c r="A33" s="4">
        <v>1</v>
      </c>
      <c r="B33" s="5" t="s">
        <v>43</v>
      </c>
      <c r="C33" s="6">
        <f>4300+126+500</f>
        <v>4926</v>
      </c>
      <c r="D33" s="6"/>
      <c r="E33" s="6"/>
      <c r="F33" s="6"/>
      <c r="G33" s="6">
        <f>0+862.2+0+395.27+228.48+0</f>
        <v>1485.95</v>
      </c>
      <c r="H33" s="6">
        <f>C33+D33+E33+F33-G33</f>
        <v>3440.05</v>
      </c>
      <c r="I33" s="9">
        <f>0+1906.92+0+483.84+362.4+0</f>
        <v>2753.1600000000003</v>
      </c>
      <c r="J33" s="11">
        <f>C33-I33</f>
        <v>2172.8399999999997</v>
      </c>
    </row>
    <row r="34" spans="1:10" ht="15.75" customHeight="1">
      <c r="A34" s="4">
        <v>2</v>
      </c>
      <c r="B34" s="5" t="s">
        <v>12</v>
      </c>
      <c r="C34" s="6"/>
      <c r="D34" s="6"/>
      <c r="E34" s="6">
        <v>1170</v>
      </c>
      <c r="F34" s="6"/>
      <c r="G34" s="6">
        <f>497.53+459.57</f>
        <v>957.0999999999999</v>
      </c>
      <c r="H34" s="6">
        <f>C34+D34+E34+F34-G34</f>
        <v>212.9000000000001</v>
      </c>
      <c r="I34" s="16">
        <f>532.8+598.4</f>
        <v>1131.1999999999998</v>
      </c>
      <c r="J34" s="11">
        <f>E34-I34</f>
        <v>38.80000000000018</v>
      </c>
    </row>
    <row r="35" spans="1:8" ht="15">
      <c r="A35" s="18" t="s">
        <v>10</v>
      </c>
      <c r="B35" s="19"/>
      <c r="C35" s="19"/>
      <c r="D35" s="19"/>
      <c r="E35" s="19"/>
      <c r="F35" s="19"/>
      <c r="G35" s="19"/>
      <c r="H35" s="20"/>
    </row>
    <row r="36" spans="1:10" ht="15.75" customHeight="1">
      <c r="A36" s="4">
        <v>1</v>
      </c>
      <c r="B36" s="5" t="s">
        <v>43</v>
      </c>
      <c r="C36" s="6">
        <f>4300+126+500</f>
        <v>4926</v>
      </c>
      <c r="D36" s="6"/>
      <c r="E36" s="6"/>
      <c r="F36" s="6"/>
      <c r="G36" s="6">
        <f>0+1107.64+0+431.78+298.89+0</f>
        <v>1838.31</v>
      </c>
      <c r="H36" s="6">
        <f>C36+D36+E36+F36-G36</f>
        <v>3087.69</v>
      </c>
      <c r="I36" s="9">
        <f>0+1947.24+0+530.64+439.92+0</f>
        <v>2917.8</v>
      </c>
      <c r="J36" s="11">
        <f>C36-I36</f>
        <v>2008.1999999999998</v>
      </c>
    </row>
    <row r="37" spans="1:10" ht="15.75" customHeight="1">
      <c r="A37" s="4">
        <v>2</v>
      </c>
      <c r="B37" s="5" t="s">
        <v>12</v>
      </c>
      <c r="C37" s="6"/>
      <c r="D37" s="6"/>
      <c r="E37" s="6">
        <v>1170</v>
      </c>
      <c r="F37" s="6"/>
      <c r="G37" s="6">
        <f>481.94+379.5</f>
        <v>861.44</v>
      </c>
      <c r="H37" s="6">
        <f>C37+D37+E37+F37-G37</f>
        <v>308.55999999999995</v>
      </c>
      <c r="I37" s="9">
        <f>507.2+521.6</f>
        <v>1028.8</v>
      </c>
      <c r="J37" s="11">
        <f>E37-I37</f>
        <v>141.20000000000005</v>
      </c>
    </row>
    <row r="38" spans="1:8" ht="15">
      <c r="A38" s="18" t="s">
        <v>13</v>
      </c>
      <c r="B38" s="19"/>
      <c r="C38" s="19"/>
      <c r="D38" s="19"/>
      <c r="E38" s="19"/>
      <c r="F38" s="19"/>
      <c r="G38" s="19"/>
      <c r="H38" s="20"/>
    </row>
    <row r="39" spans="1:10" ht="15">
      <c r="A39" s="4">
        <v>1</v>
      </c>
      <c r="B39" s="5" t="s">
        <v>43</v>
      </c>
      <c r="C39" s="6">
        <f>4300+126+500</f>
        <v>4926</v>
      </c>
      <c r="D39" s="6"/>
      <c r="E39" s="6"/>
      <c r="F39" s="6"/>
      <c r="G39" s="6">
        <f>0+1061.9+0+461.86+355.35+0</f>
        <v>1879.1100000000001</v>
      </c>
      <c r="H39" s="6">
        <f>C39+D39+E39+F39-G39</f>
        <v>3046.89</v>
      </c>
      <c r="I39" s="9">
        <f>0+1924.56+0+534+445.44+0</f>
        <v>2904</v>
      </c>
      <c r="J39" s="11">
        <f>C39-I39</f>
        <v>2022</v>
      </c>
    </row>
    <row r="40" spans="1:10" ht="15">
      <c r="A40" s="4">
        <v>2</v>
      </c>
      <c r="B40" s="5" t="s">
        <v>12</v>
      </c>
      <c r="C40" s="6"/>
      <c r="D40" s="6"/>
      <c r="E40" s="6">
        <v>1170</v>
      </c>
      <c r="F40" s="6"/>
      <c r="G40" s="6">
        <f>485.57+360.25</f>
        <v>845.8199999999999</v>
      </c>
      <c r="H40" s="6">
        <f>C40+D40+E40+F40-G40</f>
        <v>324.18000000000006</v>
      </c>
      <c r="I40" s="9">
        <f>508.6+374.8</f>
        <v>883.4000000000001</v>
      </c>
      <c r="J40" s="11">
        <f>E40-I40</f>
        <v>286.5999999999999</v>
      </c>
    </row>
    <row r="41" spans="1:8" ht="15">
      <c r="A41" s="18" t="s">
        <v>14</v>
      </c>
      <c r="B41" s="19"/>
      <c r="C41" s="19"/>
      <c r="D41" s="19"/>
      <c r="E41" s="19"/>
      <c r="F41" s="19"/>
      <c r="G41" s="19"/>
      <c r="H41" s="20"/>
    </row>
    <row r="42" spans="1:10" ht="15">
      <c r="A42" s="4">
        <v>1</v>
      </c>
      <c r="B42" s="5" t="s">
        <v>43</v>
      </c>
      <c r="C42" s="6">
        <f>4300+126+500</f>
        <v>4926</v>
      </c>
      <c r="D42" s="6"/>
      <c r="E42" s="6"/>
      <c r="F42" s="6"/>
      <c r="G42" s="6">
        <f>0+1326.82+0+450.15+329.47+0</f>
        <v>2106.4399999999996</v>
      </c>
      <c r="H42" s="6">
        <f>C42+D42+E42+F42-G42</f>
        <v>2819.5600000000004</v>
      </c>
      <c r="I42" s="9">
        <f>0+1967.04+0+551.76+407.28+0</f>
        <v>2926.08</v>
      </c>
      <c r="J42" s="11">
        <f>C42-I42</f>
        <v>1999.92</v>
      </c>
    </row>
    <row r="43" spans="1:10" ht="15">
      <c r="A43" s="4">
        <v>2</v>
      </c>
      <c r="B43" s="5" t="s">
        <v>12</v>
      </c>
      <c r="C43" s="6"/>
      <c r="D43" s="6"/>
      <c r="E43" s="6">
        <v>1170</v>
      </c>
      <c r="F43" s="6"/>
      <c r="G43" s="6">
        <f>486.08+363.27</f>
        <v>849.3499999999999</v>
      </c>
      <c r="H43" s="6">
        <f>C43+D43+E43+F43-G43</f>
        <v>320.6500000000001</v>
      </c>
      <c r="I43" s="9">
        <f>515.6+382.4</f>
        <v>898</v>
      </c>
      <c r="J43" s="11">
        <f>E43-I43</f>
        <v>272</v>
      </c>
    </row>
    <row r="44" spans="1:8" ht="15">
      <c r="A44" s="4"/>
      <c r="B44" s="4"/>
      <c r="C44" s="6"/>
      <c r="D44" s="6"/>
      <c r="E44" s="6"/>
      <c r="F44" s="6"/>
      <c r="G44" s="6"/>
      <c r="H44" s="6"/>
    </row>
    <row r="45" spans="1:8" ht="28.5" customHeight="1">
      <c r="A45" s="17" t="s">
        <v>16</v>
      </c>
      <c r="B45" s="17"/>
      <c r="C45" s="17"/>
      <c r="D45" s="17"/>
      <c r="E45" s="17"/>
      <c r="F45" s="17"/>
      <c r="G45" s="17"/>
      <c r="H45" s="17"/>
    </row>
    <row r="46" spans="1:8" ht="15" customHeight="1">
      <c r="A46" s="17" t="s">
        <v>37</v>
      </c>
      <c r="B46" s="17"/>
      <c r="C46" s="17"/>
      <c r="D46" s="17"/>
      <c r="E46" s="17"/>
      <c r="F46" s="17"/>
      <c r="G46" s="17"/>
      <c r="H46" s="17"/>
    </row>
    <row r="47" spans="1:8" ht="15">
      <c r="A47" s="17"/>
      <c r="B47" s="17"/>
      <c r="C47" s="17"/>
      <c r="D47" s="17"/>
      <c r="E47" s="17"/>
      <c r="F47" s="17"/>
      <c r="G47" s="17"/>
      <c r="H47" s="17"/>
    </row>
  </sheetData>
  <sheetProtection/>
  <mergeCells count="24">
    <mergeCell ref="A35:H35"/>
    <mergeCell ref="A38:H38"/>
    <mergeCell ref="A41:H41"/>
    <mergeCell ref="A45:H45"/>
    <mergeCell ref="A46:H46"/>
    <mergeCell ref="A47:H47"/>
    <mergeCell ref="A17:H17"/>
    <mergeCell ref="A20:H20"/>
    <mergeCell ref="A23:H23"/>
    <mergeCell ref="A26:H26"/>
    <mergeCell ref="A29:H29"/>
    <mergeCell ref="A32:H32"/>
    <mergeCell ref="A11:H11"/>
    <mergeCell ref="A14:H14"/>
    <mergeCell ref="A6:A7"/>
    <mergeCell ref="B6:B7"/>
    <mergeCell ref="C6:F6"/>
    <mergeCell ref="G6:G7"/>
    <mergeCell ref="A1:H1"/>
    <mergeCell ref="A2:H2"/>
    <mergeCell ref="A3:H3"/>
    <mergeCell ref="A4:H4"/>
    <mergeCell ref="H6:H7"/>
    <mergeCell ref="A8: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47"/>
  <sheetViews>
    <sheetView zoomScalePageLayoutView="0" workbookViewId="0" topLeftCell="A1">
      <selection activeCell="H9" sqref="H9"/>
    </sheetView>
  </sheetViews>
  <sheetFormatPr defaultColWidth="9.140625" defaultRowHeight="12.75"/>
  <cols>
    <col min="1" max="1" width="5.140625" style="1" customWidth="1"/>
    <col min="2" max="2" width="49.8515625" style="1" customWidth="1"/>
    <col min="3" max="6" width="12.8515625" style="1" customWidth="1"/>
    <col min="7" max="8" width="17.7109375" style="1" customWidth="1"/>
    <col min="9" max="9" width="9.140625" style="9" customWidth="1"/>
    <col min="10" max="10" width="8.8515625" style="9" customWidth="1"/>
    <col min="11" max="11" width="9.140625" style="12" customWidth="1"/>
    <col min="12" max="16384" width="9.140625" style="1" customWidth="1"/>
  </cols>
  <sheetData>
    <row r="1" spans="1:8" ht="22.5" customHeight="1">
      <c r="A1" s="21" t="s">
        <v>34</v>
      </c>
      <c r="B1" s="21"/>
      <c r="C1" s="21"/>
      <c r="D1" s="21"/>
      <c r="E1" s="21"/>
      <c r="F1" s="21"/>
      <c r="G1" s="21"/>
      <c r="H1" s="21"/>
    </row>
    <row r="2" spans="1:8" ht="22.5" customHeight="1">
      <c r="A2" s="21" t="s">
        <v>35</v>
      </c>
      <c r="B2" s="21"/>
      <c r="C2" s="21"/>
      <c r="D2" s="21"/>
      <c r="E2" s="21"/>
      <c r="F2" s="21"/>
      <c r="G2" s="21"/>
      <c r="H2" s="21"/>
    </row>
    <row r="3" spans="1:8" ht="36.75" customHeight="1">
      <c r="A3" s="22" t="s">
        <v>36</v>
      </c>
      <c r="B3" s="22"/>
      <c r="C3" s="22"/>
      <c r="D3" s="22"/>
      <c r="E3" s="22"/>
      <c r="F3" s="22"/>
      <c r="G3" s="22"/>
      <c r="H3" s="22"/>
    </row>
    <row r="4" spans="1:8" ht="15">
      <c r="A4" s="22" t="s">
        <v>29</v>
      </c>
      <c r="B4" s="22"/>
      <c r="C4" s="22"/>
      <c r="D4" s="22"/>
      <c r="E4" s="22"/>
      <c r="F4" s="22"/>
      <c r="G4" s="22"/>
      <c r="H4" s="22"/>
    </row>
    <row r="5" spans="1:8" ht="15">
      <c r="A5" s="2"/>
      <c r="B5" s="2"/>
      <c r="C5" s="2"/>
      <c r="D5" s="2"/>
      <c r="E5" s="2"/>
      <c r="F5" s="2"/>
      <c r="G5" s="14" t="s">
        <v>26</v>
      </c>
      <c r="H5" s="2"/>
    </row>
    <row r="6" spans="1:8" ht="40.5" customHeight="1">
      <c r="A6" s="23" t="s">
        <v>1</v>
      </c>
      <c r="B6" s="23" t="s">
        <v>7</v>
      </c>
      <c r="C6" s="25" t="s">
        <v>44</v>
      </c>
      <c r="D6" s="26"/>
      <c r="E6" s="26"/>
      <c r="F6" s="27"/>
      <c r="G6" s="23" t="s">
        <v>15</v>
      </c>
      <c r="H6" s="23" t="s">
        <v>8</v>
      </c>
    </row>
    <row r="7" spans="1:9" ht="26.25">
      <c r="A7" s="24"/>
      <c r="B7" s="24"/>
      <c r="C7" s="4" t="s">
        <v>3</v>
      </c>
      <c r="D7" s="4" t="s">
        <v>5</v>
      </c>
      <c r="E7" s="4" t="s">
        <v>4</v>
      </c>
      <c r="F7" s="4" t="s">
        <v>2</v>
      </c>
      <c r="G7" s="24"/>
      <c r="H7" s="24"/>
      <c r="I7" s="9" t="s">
        <v>28</v>
      </c>
    </row>
    <row r="8" spans="1:8" ht="15">
      <c r="A8" s="18" t="s">
        <v>17</v>
      </c>
      <c r="B8" s="19"/>
      <c r="C8" s="19"/>
      <c r="D8" s="19"/>
      <c r="E8" s="19"/>
      <c r="F8" s="19"/>
      <c r="G8" s="19"/>
      <c r="H8" s="20"/>
    </row>
    <row r="9" spans="1:10" ht="15">
      <c r="A9" s="4">
        <v>1</v>
      </c>
      <c r="B9" s="5" t="s">
        <v>43</v>
      </c>
      <c r="C9" s="6">
        <f>4300+126+500</f>
        <v>4926</v>
      </c>
      <c r="D9" s="6"/>
      <c r="E9" s="6"/>
      <c r="F9" s="6"/>
      <c r="G9" s="6">
        <f>0+645.74+0+271.42+227.06+0</f>
        <v>1144.22</v>
      </c>
      <c r="H9" s="6">
        <f>C9+D9+E9+F9-G9</f>
        <v>3781.7799999999997</v>
      </c>
      <c r="I9" s="9">
        <f>0+1532.9+0+428.1+287.8+0</f>
        <v>2248.8</v>
      </c>
      <c r="J9" s="11">
        <f>C9-I9</f>
        <v>2677.2</v>
      </c>
    </row>
    <row r="10" spans="1:10" ht="15">
      <c r="A10" s="4">
        <v>2</v>
      </c>
      <c r="B10" s="5" t="s">
        <v>12</v>
      </c>
      <c r="C10" s="6"/>
      <c r="D10" s="6"/>
      <c r="E10" s="6">
        <v>1170</v>
      </c>
      <c r="F10" s="6"/>
      <c r="G10" s="6">
        <f>518.32+401.52</f>
        <v>919.84</v>
      </c>
      <c r="H10" s="6">
        <f>C10+D10+E10+F10-G10</f>
        <v>250.15999999999997</v>
      </c>
      <c r="I10" s="10">
        <f>542.8+419</f>
        <v>961.8</v>
      </c>
      <c r="J10" s="11">
        <f>E10-I10</f>
        <v>208.20000000000005</v>
      </c>
    </row>
    <row r="11" spans="1:8" ht="15">
      <c r="A11" s="18" t="s">
        <v>18</v>
      </c>
      <c r="B11" s="19"/>
      <c r="C11" s="19"/>
      <c r="D11" s="19"/>
      <c r="E11" s="19"/>
      <c r="F11" s="19"/>
      <c r="G11" s="19"/>
      <c r="H11" s="20"/>
    </row>
    <row r="12" spans="1:10" ht="15">
      <c r="A12" s="4">
        <v>1</v>
      </c>
      <c r="B12" s="5" t="s">
        <v>43</v>
      </c>
      <c r="C12" s="6">
        <f>4300+126+500</f>
        <v>4926</v>
      </c>
      <c r="D12" s="6"/>
      <c r="E12" s="6"/>
      <c r="F12" s="6"/>
      <c r="G12" s="6">
        <f>0+664.12+0+194.88+234.69+0</f>
        <v>1093.69</v>
      </c>
      <c r="H12" s="6">
        <f>C12+D12+E12+F12-G12</f>
        <v>3832.31</v>
      </c>
      <c r="I12" s="9">
        <f>0+1226.5+0+256.3+324.2+0</f>
        <v>1807</v>
      </c>
      <c r="J12" s="11">
        <f>C12-I12</f>
        <v>3119</v>
      </c>
    </row>
    <row r="13" spans="1:10" ht="15">
      <c r="A13" s="4">
        <v>2</v>
      </c>
      <c r="B13" s="5" t="s">
        <v>12</v>
      </c>
      <c r="C13" s="6"/>
      <c r="D13" s="6"/>
      <c r="E13" s="6">
        <v>1170</v>
      </c>
      <c r="F13" s="6"/>
      <c r="G13" s="6">
        <f>522.35+400</f>
        <v>922.35</v>
      </c>
      <c r="H13" s="6">
        <f>C13+D13+E13+F13-G13</f>
        <v>247.64999999999998</v>
      </c>
      <c r="I13" s="10">
        <f>539.4+411.6</f>
        <v>951</v>
      </c>
      <c r="J13" s="11">
        <f>E13-I13</f>
        <v>219</v>
      </c>
    </row>
    <row r="14" spans="1:8" ht="15">
      <c r="A14" s="18" t="s">
        <v>19</v>
      </c>
      <c r="B14" s="19"/>
      <c r="C14" s="19"/>
      <c r="D14" s="19"/>
      <c r="E14" s="19"/>
      <c r="F14" s="19"/>
      <c r="G14" s="19"/>
      <c r="H14" s="20"/>
    </row>
    <row r="15" spans="1:10" ht="15">
      <c r="A15" s="4">
        <v>1</v>
      </c>
      <c r="B15" s="5" t="s">
        <v>43</v>
      </c>
      <c r="C15" s="6">
        <f>4300+126+500</f>
        <v>4926</v>
      </c>
      <c r="D15" s="6"/>
      <c r="E15" s="6"/>
      <c r="F15" s="6"/>
      <c r="G15" s="6">
        <f>0+1174.04+0+312.25+271.77+0</f>
        <v>1758.06</v>
      </c>
      <c r="H15" s="6">
        <f>C15+D15+E15+F15-G15</f>
        <v>3167.94</v>
      </c>
      <c r="I15" s="9">
        <f>0+1726.9+0+457.4+354+0</f>
        <v>2538.3</v>
      </c>
      <c r="J15" s="11">
        <f>C15-I15</f>
        <v>2387.7</v>
      </c>
    </row>
    <row r="16" spans="1:10" ht="15">
      <c r="A16" s="4">
        <v>2</v>
      </c>
      <c r="B16" s="5" t="s">
        <v>12</v>
      </c>
      <c r="C16" s="6"/>
      <c r="D16" s="6"/>
      <c r="E16" s="6">
        <v>1170</v>
      </c>
      <c r="F16" s="6"/>
      <c r="G16" s="6">
        <f>513.66+396.8</f>
        <v>910.46</v>
      </c>
      <c r="H16" s="6">
        <f>C16+D16+E16+F16-G16</f>
        <v>259.53999999999996</v>
      </c>
      <c r="I16" s="10">
        <f>545.6+414.2</f>
        <v>959.8</v>
      </c>
      <c r="J16" s="11">
        <f>E16-I16</f>
        <v>210.20000000000005</v>
      </c>
    </row>
    <row r="17" spans="1:8" ht="15">
      <c r="A17" s="18" t="s">
        <v>20</v>
      </c>
      <c r="B17" s="19"/>
      <c r="C17" s="19"/>
      <c r="D17" s="19"/>
      <c r="E17" s="19"/>
      <c r="F17" s="19"/>
      <c r="G17" s="19"/>
      <c r="H17" s="20"/>
    </row>
    <row r="18" spans="1:10" ht="15.75" customHeight="1">
      <c r="A18" s="4">
        <v>1</v>
      </c>
      <c r="B18" s="5" t="s">
        <v>43</v>
      </c>
      <c r="C18" s="6">
        <f>4300+126+500</f>
        <v>4926</v>
      </c>
      <c r="D18" s="6"/>
      <c r="E18" s="6"/>
      <c r="F18" s="6"/>
      <c r="G18" s="6">
        <f>0+869.26+0+211.79+234.7+0</f>
        <v>1315.75</v>
      </c>
      <c r="H18" s="6">
        <f>C18+D18+E18+F18-G18</f>
        <v>3610.25</v>
      </c>
      <c r="I18" s="9">
        <f>0+1347.48+0+413.28+360+0</f>
        <v>2120.76</v>
      </c>
      <c r="J18" s="11">
        <f>C18-I18</f>
        <v>2805.24</v>
      </c>
    </row>
    <row r="19" spans="1:10" ht="15">
      <c r="A19" s="4">
        <v>2</v>
      </c>
      <c r="B19" s="5" t="s">
        <v>12</v>
      </c>
      <c r="C19" s="6"/>
      <c r="D19" s="6"/>
      <c r="E19" s="6">
        <v>1170</v>
      </c>
      <c r="F19" s="6"/>
      <c r="G19" s="6">
        <f>492.64+391.91</f>
        <v>884.55</v>
      </c>
      <c r="H19" s="6">
        <f>C19+D19+E19+F19-G19</f>
        <v>285.45000000000005</v>
      </c>
      <c r="I19" s="10">
        <f>540.2+578.8</f>
        <v>1119</v>
      </c>
      <c r="J19" s="11">
        <f>E19-I19</f>
        <v>51</v>
      </c>
    </row>
    <row r="20" spans="1:8" ht="15">
      <c r="A20" s="18" t="s">
        <v>21</v>
      </c>
      <c r="B20" s="19"/>
      <c r="C20" s="19"/>
      <c r="D20" s="19"/>
      <c r="E20" s="19"/>
      <c r="F20" s="19"/>
      <c r="G20" s="19"/>
      <c r="H20" s="20"/>
    </row>
    <row r="21" spans="1:10" ht="15">
      <c r="A21" s="4">
        <v>1</v>
      </c>
      <c r="B21" s="5" t="s">
        <v>43</v>
      </c>
      <c r="C21" s="6">
        <f>4300+126+500</f>
        <v>4926</v>
      </c>
      <c r="D21" s="6"/>
      <c r="E21" s="6"/>
      <c r="F21" s="6"/>
      <c r="G21" s="13">
        <f>0+291.52+0+223.91+144.67+0</f>
        <v>660.0999999999999</v>
      </c>
      <c r="H21" s="6">
        <f>C21+D21+E21+F21-G21</f>
        <v>4265.9</v>
      </c>
      <c r="I21" s="9">
        <f>0+1110.96+0+389.76+198.48+0</f>
        <v>1699.2</v>
      </c>
      <c r="J21" s="11">
        <f>C21-I21</f>
        <v>3226.8</v>
      </c>
    </row>
    <row r="22" spans="1:10" ht="15">
      <c r="A22" s="4">
        <v>2</v>
      </c>
      <c r="B22" s="5" t="s">
        <v>12</v>
      </c>
      <c r="C22" s="6"/>
      <c r="D22" s="6"/>
      <c r="E22" s="6">
        <v>1170</v>
      </c>
      <c r="F22" s="6"/>
      <c r="G22" s="13">
        <f>502.26+484.93</f>
        <v>987.19</v>
      </c>
      <c r="H22" s="6">
        <f>C22+D22+E22+F22-G22</f>
        <v>182.80999999999995</v>
      </c>
      <c r="I22" s="10">
        <f>524.2+606.8</f>
        <v>1131</v>
      </c>
      <c r="J22" s="11">
        <f>E22-I22</f>
        <v>39</v>
      </c>
    </row>
    <row r="23" spans="1:10" ht="15">
      <c r="A23" s="18" t="s">
        <v>22</v>
      </c>
      <c r="B23" s="19"/>
      <c r="C23" s="19"/>
      <c r="D23" s="19"/>
      <c r="E23" s="19"/>
      <c r="F23" s="19"/>
      <c r="G23" s="19"/>
      <c r="H23" s="20"/>
      <c r="J23" s="11"/>
    </row>
    <row r="24" spans="1:10" ht="15">
      <c r="A24" s="4">
        <v>1</v>
      </c>
      <c r="B24" s="5" t="s">
        <v>43</v>
      </c>
      <c r="C24" s="6">
        <f>4300+126+500</f>
        <v>4926</v>
      </c>
      <c r="D24" s="6"/>
      <c r="E24" s="6"/>
      <c r="F24" s="6"/>
      <c r="G24" s="13">
        <f>0+851.92+0+320.66+163.27+0</f>
        <v>1335.85</v>
      </c>
      <c r="H24" s="6">
        <f>C24+D24+E24+F24-G24</f>
        <v>3590.15</v>
      </c>
      <c r="I24" s="9">
        <f>0+1268.6+0+415+223.7+0</f>
        <v>1907.3</v>
      </c>
      <c r="J24" s="11">
        <f>C24-I24</f>
        <v>3018.7</v>
      </c>
    </row>
    <row r="25" spans="1:10" ht="15">
      <c r="A25" s="4">
        <v>2</v>
      </c>
      <c r="B25" s="5" t="s">
        <v>12</v>
      </c>
      <c r="C25" s="6"/>
      <c r="D25" s="6"/>
      <c r="E25" s="6">
        <v>1170</v>
      </c>
      <c r="F25" s="6"/>
      <c r="G25" s="13">
        <f>520.05+557.97</f>
        <v>1078.02</v>
      </c>
      <c r="H25" s="6">
        <f>C25+D25+E25+F25-G25</f>
        <v>91.98000000000002</v>
      </c>
      <c r="I25" s="10">
        <f>545+648</f>
        <v>1193</v>
      </c>
      <c r="J25" s="15">
        <f>E25-I25</f>
        <v>-23</v>
      </c>
    </row>
    <row r="26" spans="1:8" ht="15">
      <c r="A26" s="18" t="s">
        <v>23</v>
      </c>
      <c r="B26" s="19"/>
      <c r="C26" s="19"/>
      <c r="D26" s="19"/>
      <c r="E26" s="19"/>
      <c r="F26" s="19"/>
      <c r="G26" s="19"/>
      <c r="H26" s="20"/>
    </row>
    <row r="27" spans="1:10" ht="15">
      <c r="A27" s="4">
        <v>1</v>
      </c>
      <c r="B27" s="5" t="s">
        <v>43</v>
      </c>
      <c r="C27" s="6">
        <f>4300+126+500</f>
        <v>4926</v>
      </c>
      <c r="D27" s="6"/>
      <c r="E27" s="6"/>
      <c r="F27" s="6"/>
      <c r="G27" s="6">
        <f>0+74.62+0+267.62+135.42+0</f>
        <v>477.65999999999997</v>
      </c>
      <c r="H27" s="6">
        <f>C27+D27+E27+F27-G27</f>
        <v>4448.34</v>
      </c>
      <c r="I27" s="9">
        <f>0+954+0+423.1+177.1+0</f>
        <v>1554.1999999999998</v>
      </c>
      <c r="J27" s="11">
        <f>C27-I27</f>
        <v>3371.8</v>
      </c>
    </row>
    <row r="28" spans="1:10" ht="15">
      <c r="A28" s="4">
        <v>2</v>
      </c>
      <c r="B28" s="5" t="s">
        <v>12</v>
      </c>
      <c r="C28" s="6"/>
      <c r="D28" s="6"/>
      <c r="E28" s="6">
        <v>1170</v>
      </c>
      <c r="F28" s="6"/>
      <c r="G28" s="6">
        <f>527.43+553.77</f>
        <v>1081.1999999999998</v>
      </c>
      <c r="H28" s="6">
        <f>C28+D28+E28+F28-G28</f>
        <v>88.80000000000018</v>
      </c>
      <c r="I28" s="9">
        <f>546.2+609</f>
        <v>1155.2</v>
      </c>
      <c r="J28" s="11">
        <f>E28-I28</f>
        <v>14.799999999999955</v>
      </c>
    </row>
    <row r="29" spans="1:8" ht="15">
      <c r="A29" s="18" t="s">
        <v>24</v>
      </c>
      <c r="B29" s="19"/>
      <c r="C29" s="19"/>
      <c r="D29" s="19"/>
      <c r="E29" s="19"/>
      <c r="F29" s="19"/>
      <c r="G29" s="19"/>
      <c r="H29" s="20"/>
    </row>
    <row r="30" spans="1:10" ht="15">
      <c r="A30" s="4">
        <v>1</v>
      </c>
      <c r="B30" s="5" t="s">
        <v>43</v>
      </c>
      <c r="C30" s="6">
        <f>4300+126+500</f>
        <v>4926</v>
      </c>
      <c r="D30" s="6"/>
      <c r="E30" s="6"/>
      <c r="F30" s="6"/>
      <c r="G30" s="6">
        <f>0+479.19+0+278.06+135.03+0</f>
        <v>892.28</v>
      </c>
      <c r="H30" s="6">
        <f>C30+D30+E30+F30-G30</f>
        <v>4033.7200000000003</v>
      </c>
      <c r="I30" s="9">
        <f>0+1409.04+0+394.8+232.56+0</f>
        <v>2036.3999999999999</v>
      </c>
      <c r="J30" s="11">
        <f>C30-I30</f>
        <v>2889.6000000000004</v>
      </c>
    </row>
    <row r="31" spans="1:10" ht="15.75" customHeight="1">
      <c r="A31" s="4">
        <v>2</v>
      </c>
      <c r="B31" s="5" t="s">
        <v>12</v>
      </c>
      <c r="C31" s="6"/>
      <c r="D31" s="6"/>
      <c r="E31" s="6">
        <v>1170</v>
      </c>
      <c r="F31" s="6"/>
      <c r="G31" s="6">
        <f>518.08+547.94</f>
        <v>1066.02</v>
      </c>
      <c r="H31" s="6">
        <f>C31+D31+E31+F31-G31</f>
        <v>103.98000000000002</v>
      </c>
      <c r="I31" s="9">
        <f>540.8+615.2</f>
        <v>1156</v>
      </c>
      <c r="J31" s="11">
        <f>E31-I31</f>
        <v>14</v>
      </c>
    </row>
    <row r="32" spans="1:8" ht="15">
      <c r="A32" s="18" t="s">
        <v>9</v>
      </c>
      <c r="B32" s="19"/>
      <c r="C32" s="19"/>
      <c r="D32" s="19"/>
      <c r="E32" s="19"/>
      <c r="F32" s="19"/>
      <c r="G32" s="19"/>
      <c r="H32" s="20"/>
    </row>
    <row r="33" spans="1:10" ht="15">
      <c r="A33" s="4">
        <v>1</v>
      </c>
      <c r="B33" s="5" t="s">
        <v>43</v>
      </c>
      <c r="C33" s="6">
        <f>4300+126+500</f>
        <v>4926</v>
      </c>
      <c r="D33" s="6"/>
      <c r="E33" s="6"/>
      <c r="F33" s="6"/>
      <c r="G33" s="6">
        <f>0+913.18+0+345.33+175.42+0</f>
        <v>1433.93</v>
      </c>
      <c r="H33" s="6">
        <f>C33+D33+E33+F33-G33</f>
        <v>3492.0699999999997</v>
      </c>
      <c r="I33" s="9">
        <f>0+1381.3+0+419.5+260.6+0</f>
        <v>2061.4</v>
      </c>
      <c r="J33" s="11">
        <f>C33-I33</f>
        <v>2864.6</v>
      </c>
    </row>
    <row r="34" spans="1:10" ht="15.75" customHeight="1">
      <c r="A34" s="4">
        <v>2</v>
      </c>
      <c r="B34" s="5" t="s">
        <v>12</v>
      </c>
      <c r="C34" s="6"/>
      <c r="D34" s="6"/>
      <c r="E34" s="6">
        <v>1170</v>
      </c>
      <c r="F34" s="6"/>
      <c r="G34" s="6">
        <f>488.05+488.44</f>
        <v>976.49</v>
      </c>
      <c r="H34" s="6">
        <f>C34+D34+E34+F34-G34</f>
        <v>193.51</v>
      </c>
      <c r="I34" s="16">
        <f>523.4+586.6</f>
        <v>1110</v>
      </c>
      <c r="J34" s="11">
        <f>E34-I34</f>
        <v>60</v>
      </c>
    </row>
    <row r="35" spans="1:8" ht="15">
      <c r="A35" s="18" t="s">
        <v>10</v>
      </c>
      <c r="B35" s="19"/>
      <c r="C35" s="19"/>
      <c r="D35" s="19"/>
      <c r="E35" s="19"/>
      <c r="F35" s="19"/>
      <c r="G35" s="19"/>
      <c r="H35" s="20"/>
    </row>
    <row r="36" spans="1:10" ht="15.75" customHeight="1">
      <c r="A36" s="4">
        <v>1</v>
      </c>
      <c r="B36" s="5" t="s">
        <v>43</v>
      </c>
      <c r="C36" s="6">
        <f>4300+126+500</f>
        <v>4926</v>
      </c>
      <c r="D36" s="6"/>
      <c r="E36" s="6"/>
      <c r="F36" s="6"/>
      <c r="G36" s="6">
        <f>0+699+0+331.73+215+0</f>
        <v>1245.73</v>
      </c>
      <c r="H36" s="6">
        <f>C36+D36+E36+F36-G36</f>
        <v>3680.27</v>
      </c>
      <c r="I36" s="9">
        <f>0+1280.16+0+433.2+335.52+0</f>
        <v>2048.88</v>
      </c>
      <c r="J36" s="11">
        <f>C36-I36</f>
        <v>2877.12</v>
      </c>
    </row>
    <row r="37" spans="1:10" ht="15.75" customHeight="1">
      <c r="A37" s="4">
        <v>2</v>
      </c>
      <c r="B37" s="5" t="s">
        <v>12</v>
      </c>
      <c r="C37" s="6"/>
      <c r="D37" s="6"/>
      <c r="E37" s="6">
        <v>1170</v>
      </c>
      <c r="F37" s="6"/>
      <c r="G37" s="6">
        <f>476.99+374.37</f>
        <v>851.36</v>
      </c>
      <c r="H37" s="6">
        <f>C37+D37+E37+F37-G37</f>
        <v>318.64</v>
      </c>
      <c r="I37" s="9">
        <f>498.6+389.6</f>
        <v>888.2</v>
      </c>
      <c r="J37" s="11">
        <f>E37-I37</f>
        <v>281.79999999999995</v>
      </c>
    </row>
    <row r="38" spans="1:8" ht="15">
      <c r="A38" s="18" t="s">
        <v>13</v>
      </c>
      <c r="B38" s="19"/>
      <c r="C38" s="19"/>
      <c r="D38" s="19"/>
      <c r="E38" s="19"/>
      <c r="F38" s="19"/>
      <c r="G38" s="19"/>
      <c r="H38" s="20"/>
    </row>
    <row r="39" spans="1:10" ht="15">
      <c r="A39" s="4">
        <v>1</v>
      </c>
      <c r="B39" s="5" t="s">
        <v>43</v>
      </c>
      <c r="C39" s="6">
        <f>4300+126+500</f>
        <v>4926</v>
      </c>
      <c r="D39" s="6"/>
      <c r="E39" s="6"/>
      <c r="F39" s="6"/>
      <c r="G39" s="6">
        <f>0+545.43+0+372.44+253.8+0</f>
        <v>1171.6699999999998</v>
      </c>
      <c r="H39" s="6">
        <f>C39+D39+E39+F39-G39</f>
        <v>3754.33</v>
      </c>
      <c r="I39" s="9">
        <f>0+1343.16+0+464.24+342+0</f>
        <v>2149.4</v>
      </c>
      <c r="J39" s="11">
        <f>C39-I39</f>
        <v>2776.6</v>
      </c>
    </row>
    <row r="40" spans="1:10" ht="15">
      <c r="A40" s="4">
        <v>2</v>
      </c>
      <c r="B40" s="5" t="s">
        <v>12</v>
      </c>
      <c r="C40" s="6"/>
      <c r="D40" s="6"/>
      <c r="E40" s="6">
        <v>1170</v>
      </c>
      <c r="F40" s="6"/>
      <c r="G40" s="6">
        <f>455.51+363.8</f>
        <v>819.31</v>
      </c>
      <c r="H40" s="6">
        <f>C40+D40+E40+F40-G40</f>
        <v>350.69000000000005</v>
      </c>
      <c r="I40" s="9">
        <f>490.2+392.2</f>
        <v>882.4</v>
      </c>
      <c r="J40" s="11">
        <f>E40-I40</f>
        <v>287.6</v>
      </c>
    </row>
    <row r="41" spans="1:8" ht="15">
      <c r="A41" s="18" t="s">
        <v>14</v>
      </c>
      <c r="B41" s="19"/>
      <c r="C41" s="19"/>
      <c r="D41" s="19"/>
      <c r="E41" s="19"/>
      <c r="F41" s="19"/>
      <c r="G41" s="19"/>
      <c r="H41" s="20"/>
    </row>
    <row r="42" spans="1:10" ht="15">
      <c r="A42" s="4">
        <v>1</v>
      </c>
      <c r="B42" s="5" t="s">
        <v>43</v>
      </c>
      <c r="C42" s="6">
        <f>4300+126+500</f>
        <v>4926</v>
      </c>
      <c r="D42" s="6"/>
      <c r="E42" s="6"/>
      <c r="F42" s="6"/>
      <c r="G42" s="6">
        <f>0+590.14+0+317.54+259.55+0</f>
        <v>1167.23</v>
      </c>
      <c r="H42" s="6">
        <f>C42+D42+E42+F42-G42</f>
        <v>3758.77</v>
      </c>
      <c r="I42" s="9">
        <f>0+1162.8+0+466.8+335.52+0</f>
        <v>1965.12</v>
      </c>
      <c r="J42" s="11">
        <f>C42-I42</f>
        <v>2960.88</v>
      </c>
    </row>
    <row r="43" spans="1:10" ht="15">
      <c r="A43" s="4">
        <v>2</v>
      </c>
      <c r="B43" s="5" t="s">
        <v>12</v>
      </c>
      <c r="C43" s="6"/>
      <c r="D43" s="6"/>
      <c r="E43" s="6">
        <v>1170</v>
      </c>
      <c r="F43" s="6"/>
      <c r="G43" s="6">
        <f>481.5+375.11</f>
        <v>856.61</v>
      </c>
      <c r="H43" s="6">
        <f>C43+D43+E43+F43-G43</f>
        <v>313.39</v>
      </c>
      <c r="I43" s="9">
        <f>511.6+392</f>
        <v>903.6</v>
      </c>
      <c r="J43" s="11">
        <f>E43-I43</f>
        <v>266.4</v>
      </c>
    </row>
    <row r="44" spans="1:8" ht="15">
      <c r="A44" s="4"/>
      <c r="B44" s="4"/>
      <c r="C44" s="6"/>
      <c r="D44" s="6"/>
      <c r="E44" s="6"/>
      <c r="F44" s="6"/>
      <c r="G44" s="6"/>
      <c r="H44" s="6"/>
    </row>
    <row r="45" spans="1:8" ht="28.5" customHeight="1">
      <c r="A45" s="17" t="s">
        <v>16</v>
      </c>
      <c r="B45" s="17"/>
      <c r="C45" s="17"/>
      <c r="D45" s="17"/>
      <c r="E45" s="17"/>
      <c r="F45" s="17"/>
      <c r="G45" s="17"/>
      <c r="H45" s="17"/>
    </row>
    <row r="46" spans="1:8" ht="15" customHeight="1">
      <c r="A46" s="17" t="s">
        <v>37</v>
      </c>
      <c r="B46" s="17"/>
      <c r="C46" s="17"/>
      <c r="D46" s="17"/>
      <c r="E46" s="17"/>
      <c r="F46" s="17"/>
      <c r="G46" s="17"/>
      <c r="H46" s="17"/>
    </row>
    <row r="47" spans="1:8" ht="15">
      <c r="A47" s="17"/>
      <c r="B47" s="17"/>
      <c r="C47" s="17"/>
      <c r="D47" s="17"/>
      <c r="E47" s="17"/>
      <c r="F47" s="17"/>
      <c r="G47" s="17"/>
      <c r="H47" s="17"/>
    </row>
  </sheetData>
  <sheetProtection/>
  <mergeCells count="24">
    <mergeCell ref="A35:H35"/>
    <mergeCell ref="A38:H38"/>
    <mergeCell ref="A41:H41"/>
    <mergeCell ref="A45:H45"/>
    <mergeCell ref="A46:H46"/>
    <mergeCell ref="A47:H47"/>
    <mergeCell ref="A17:H17"/>
    <mergeCell ref="A20:H20"/>
    <mergeCell ref="A23:H23"/>
    <mergeCell ref="A26:H26"/>
    <mergeCell ref="A29:H29"/>
    <mergeCell ref="A32:H32"/>
    <mergeCell ref="A11:H11"/>
    <mergeCell ref="A14:H14"/>
    <mergeCell ref="A6:A7"/>
    <mergeCell ref="B6:B7"/>
    <mergeCell ref="C6:F6"/>
    <mergeCell ref="G6:G7"/>
    <mergeCell ref="A1:H1"/>
    <mergeCell ref="A2:H2"/>
    <mergeCell ref="A3:H3"/>
    <mergeCell ref="A4:H4"/>
    <mergeCell ref="H6:H7"/>
    <mergeCell ref="A8:H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47"/>
  <sheetViews>
    <sheetView zoomScalePageLayoutView="0" workbookViewId="0" topLeftCell="A1">
      <selection activeCell="A1" sqref="A1:IV16384"/>
    </sheetView>
  </sheetViews>
  <sheetFormatPr defaultColWidth="9.140625" defaultRowHeight="12.75"/>
  <cols>
    <col min="1" max="1" width="5.140625" style="1" customWidth="1"/>
    <col min="2" max="2" width="49.8515625" style="1" customWidth="1"/>
    <col min="3" max="6" width="12.8515625" style="1" customWidth="1"/>
    <col min="7" max="8" width="17.7109375" style="1" customWidth="1"/>
    <col min="9" max="9" width="9.140625" style="9" customWidth="1"/>
    <col min="10" max="10" width="8.8515625" style="9" customWidth="1"/>
    <col min="11" max="11" width="9.140625" style="12" customWidth="1"/>
    <col min="12" max="16384" width="9.140625" style="1" customWidth="1"/>
  </cols>
  <sheetData>
    <row r="1" spans="1:8" ht="22.5" customHeight="1">
      <c r="A1" s="21" t="s">
        <v>34</v>
      </c>
      <c r="B1" s="21"/>
      <c r="C1" s="21"/>
      <c r="D1" s="21"/>
      <c r="E1" s="21"/>
      <c r="F1" s="21"/>
      <c r="G1" s="21"/>
      <c r="H1" s="21"/>
    </row>
    <row r="2" spans="1:8" ht="22.5" customHeight="1">
      <c r="A2" s="21" t="s">
        <v>35</v>
      </c>
      <c r="B2" s="21"/>
      <c r="C2" s="21"/>
      <c r="D2" s="21"/>
      <c r="E2" s="21"/>
      <c r="F2" s="21"/>
      <c r="G2" s="21"/>
      <c r="H2" s="21"/>
    </row>
    <row r="3" spans="1:8" ht="36.75" customHeight="1">
      <c r="A3" s="22" t="s">
        <v>36</v>
      </c>
      <c r="B3" s="22"/>
      <c r="C3" s="22"/>
      <c r="D3" s="22"/>
      <c r="E3" s="22"/>
      <c r="F3" s="22"/>
      <c r="G3" s="22"/>
      <c r="H3" s="22"/>
    </row>
    <row r="4" spans="1:8" ht="15">
      <c r="A4" s="22" t="s">
        <v>27</v>
      </c>
      <c r="B4" s="22"/>
      <c r="C4" s="22"/>
      <c r="D4" s="22"/>
      <c r="E4" s="22"/>
      <c r="F4" s="22"/>
      <c r="G4" s="22"/>
      <c r="H4" s="22"/>
    </row>
    <row r="5" spans="1:8" ht="15">
      <c r="A5" s="2"/>
      <c r="B5" s="2"/>
      <c r="C5" s="2"/>
      <c r="D5" s="2"/>
      <c r="E5" s="2"/>
      <c r="F5" s="2"/>
      <c r="G5" s="14" t="s">
        <v>26</v>
      </c>
      <c r="H5" s="2"/>
    </row>
    <row r="6" spans="1:8" ht="40.5" customHeight="1">
      <c r="A6" s="23" t="s">
        <v>1</v>
      </c>
      <c r="B6" s="23" t="s">
        <v>7</v>
      </c>
      <c r="C6" s="25" t="s">
        <v>6</v>
      </c>
      <c r="D6" s="26"/>
      <c r="E6" s="26"/>
      <c r="F6" s="27"/>
      <c r="G6" s="23" t="s">
        <v>15</v>
      </c>
      <c r="H6" s="23" t="s">
        <v>8</v>
      </c>
    </row>
    <row r="7" spans="1:9" ht="26.25">
      <c r="A7" s="24"/>
      <c r="B7" s="24"/>
      <c r="C7" s="4" t="s">
        <v>3</v>
      </c>
      <c r="D7" s="4" t="s">
        <v>5</v>
      </c>
      <c r="E7" s="4" t="s">
        <v>4</v>
      </c>
      <c r="F7" s="4" t="s">
        <v>2</v>
      </c>
      <c r="G7" s="24"/>
      <c r="H7" s="24"/>
      <c r="I7" s="9" t="s">
        <v>28</v>
      </c>
    </row>
    <row r="8" spans="1:8" ht="15">
      <c r="A8" s="18" t="s">
        <v>17</v>
      </c>
      <c r="B8" s="19"/>
      <c r="C8" s="19"/>
      <c r="D8" s="19"/>
      <c r="E8" s="19"/>
      <c r="F8" s="19"/>
      <c r="G8" s="19"/>
      <c r="H8" s="20"/>
    </row>
    <row r="9" spans="1:10" ht="15">
      <c r="A9" s="4">
        <v>1</v>
      </c>
      <c r="B9" s="5" t="s">
        <v>43</v>
      </c>
      <c r="C9" s="6">
        <f>4300+126+500</f>
        <v>4926</v>
      </c>
      <c r="D9" s="6"/>
      <c r="E9" s="6"/>
      <c r="F9" s="6"/>
      <c r="G9" s="6">
        <f>381.65+298.82+153.79+28.03+236.12+259.15</f>
        <v>1357.56</v>
      </c>
      <c r="H9" s="6">
        <f>C9+D9+E9+F9-G9</f>
        <v>3568.44</v>
      </c>
      <c r="I9" s="9">
        <f>846.72+1113.12+243.6+43.68+375.36+337.92</f>
        <v>2960.4</v>
      </c>
      <c r="J9" s="11">
        <f>C9-I9</f>
        <v>1965.6</v>
      </c>
    </row>
    <row r="10" spans="1:10" ht="15">
      <c r="A10" s="4">
        <v>2</v>
      </c>
      <c r="B10" s="5" t="s">
        <v>12</v>
      </c>
      <c r="C10" s="6"/>
      <c r="D10" s="6"/>
      <c r="E10" s="6">
        <v>1170</v>
      </c>
      <c r="F10" s="6"/>
      <c r="G10" s="6">
        <f>511.26+437.27</f>
        <v>948.53</v>
      </c>
      <c r="H10" s="6">
        <f>C10+D10+E10+F10-G10</f>
        <v>221.47000000000003</v>
      </c>
      <c r="I10" s="10">
        <f>548.6+455.2</f>
        <v>1003.8</v>
      </c>
      <c r="J10" s="11">
        <f>E10-I10</f>
        <v>166.20000000000005</v>
      </c>
    </row>
    <row r="11" spans="1:8" ht="15">
      <c r="A11" s="18" t="s">
        <v>18</v>
      </c>
      <c r="B11" s="19"/>
      <c r="C11" s="19"/>
      <c r="D11" s="19"/>
      <c r="E11" s="19"/>
      <c r="F11" s="19"/>
      <c r="G11" s="19"/>
      <c r="H11" s="20"/>
    </row>
    <row r="12" spans="1:10" ht="15">
      <c r="A12" s="4">
        <v>1</v>
      </c>
      <c r="B12" s="5" t="s">
        <v>43</v>
      </c>
      <c r="C12" s="6">
        <f>4300+126+500</f>
        <v>4926</v>
      </c>
      <c r="D12" s="6"/>
      <c r="E12" s="6"/>
      <c r="F12" s="6"/>
      <c r="G12" s="6">
        <f>444.36+503.07+194.67+107.85+216.56+258.2</f>
        <v>1724.71</v>
      </c>
      <c r="H12" s="6">
        <f>C12+D12+E12+F12-G12</f>
        <v>3201.29</v>
      </c>
      <c r="I12" s="9">
        <f>843.84+1100.16+237.84+280.9+293.76+316.08</f>
        <v>3072.58</v>
      </c>
      <c r="J12" s="11">
        <f>C12-I12</f>
        <v>1853.42</v>
      </c>
    </row>
    <row r="13" spans="1:10" ht="15">
      <c r="A13" s="4">
        <v>2</v>
      </c>
      <c r="B13" s="5" t="s">
        <v>12</v>
      </c>
      <c r="C13" s="6"/>
      <c r="D13" s="6"/>
      <c r="E13" s="6">
        <v>1170</v>
      </c>
      <c r="F13" s="6"/>
      <c r="G13" s="6">
        <f>513.76+425.12</f>
        <v>938.88</v>
      </c>
      <c r="H13" s="6">
        <f>C13+D13+E13+F13-G13</f>
        <v>231.12</v>
      </c>
      <c r="I13" s="10">
        <f>542+440.2</f>
        <v>982.2</v>
      </c>
      <c r="J13" s="11">
        <f>E13-I13</f>
        <v>187.79999999999995</v>
      </c>
    </row>
    <row r="14" spans="1:8" ht="15">
      <c r="A14" s="18" t="s">
        <v>19</v>
      </c>
      <c r="B14" s="19"/>
      <c r="C14" s="19"/>
      <c r="D14" s="19"/>
      <c r="E14" s="19"/>
      <c r="F14" s="19"/>
      <c r="G14" s="19"/>
      <c r="H14" s="20"/>
    </row>
    <row r="15" spans="1:10" ht="15">
      <c r="A15" s="4">
        <v>1</v>
      </c>
      <c r="B15" s="5" t="s">
        <v>43</v>
      </c>
      <c r="C15" s="6">
        <f>4300+126+500</f>
        <v>4926</v>
      </c>
      <c r="D15" s="6"/>
      <c r="E15" s="6"/>
      <c r="F15" s="6"/>
      <c r="G15" s="6">
        <f>304.35+602.86+186.2+105.3+193.96+173.47</f>
        <v>1566.14</v>
      </c>
      <c r="H15" s="6">
        <f>C15+D15+E15+F15-G15</f>
        <v>3359.8599999999997</v>
      </c>
      <c r="I15" s="9">
        <f>839.88+1104.48+260.88+231.36+292.12+246.72</f>
        <v>2975.44</v>
      </c>
      <c r="J15" s="11">
        <f>C15-I15</f>
        <v>1950.56</v>
      </c>
    </row>
    <row r="16" spans="1:10" ht="15">
      <c r="A16" s="4">
        <v>2</v>
      </c>
      <c r="B16" s="5" t="s">
        <v>12</v>
      </c>
      <c r="C16" s="6"/>
      <c r="D16" s="6"/>
      <c r="E16" s="6">
        <v>1170</v>
      </c>
      <c r="F16" s="6"/>
      <c r="G16" s="6">
        <f>516.79+427.02</f>
        <v>943.81</v>
      </c>
      <c r="H16" s="6">
        <f>C16+D16+E16+F16-G16</f>
        <v>226.19000000000005</v>
      </c>
      <c r="I16" s="10">
        <f>543.6+446.8</f>
        <v>990.4000000000001</v>
      </c>
      <c r="J16" s="11">
        <f>E16-I16</f>
        <v>179.5999999999999</v>
      </c>
    </row>
    <row r="17" spans="1:8" ht="15">
      <c r="A17" s="18" t="s">
        <v>20</v>
      </c>
      <c r="B17" s="19"/>
      <c r="C17" s="19"/>
      <c r="D17" s="19"/>
      <c r="E17" s="19"/>
      <c r="F17" s="19"/>
      <c r="G17" s="19"/>
      <c r="H17" s="20"/>
    </row>
    <row r="18" spans="1:10" ht="15">
      <c r="A18" s="4">
        <v>1</v>
      </c>
      <c r="B18" s="5" t="s">
        <v>43</v>
      </c>
      <c r="C18" s="6">
        <f>4300+126+500</f>
        <v>4926</v>
      </c>
      <c r="D18" s="6"/>
      <c r="E18" s="6"/>
      <c r="F18" s="6"/>
      <c r="G18" s="6">
        <f>327.83+460.32+160.77+91.66+190.48+171.85</f>
        <v>1402.9099999999999</v>
      </c>
      <c r="H18" s="6">
        <f>C18+D18+E18+F18-G18</f>
        <v>3523.09</v>
      </c>
      <c r="I18" s="9">
        <f>837+1056.96+239.04+184.56+299.04+240.48</f>
        <v>2857.08</v>
      </c>
      <c r="J18" s="11">
        <f>C18-I18</f>
        <v>2068.92</v>
      </c>
    </row>
    <row r="19" spans="1:10" ht="15">
      <c r="A19" s="4">
        <v>2</v>
      </c>
      <c r="B19" s="5" t="s">
        <v>12</v>
      </c>
      <c r="C19" s="6"/>
      <c r="D19" s="6"/>
      <c r="E19" s="6">
        <v>1170</v>
      </c>
      <c r="F19" s="6"/>
      <c r="G19" s="6">
        <f>513.94+455.28</f>
        <v>969.22</v>
      </c>
      <c r="H19" s="6">
        <f>C19+D19+E19+F19-G19</f>
        <v>200.77999999999997</v>
      </c>
      <c r="I19" s="10">
        <f>569+588</f>
        <v>1157</v>
      </c>
      <c r="J19" s="11">
        <f>E19-I19</f>
        <v>13</v>
      </c>
    </row>
    <row r="20" spans="1:8" ht="15">
      <c r="A20" s="18" t="s">
        <v>21</v>
      </c>
      <c r="B20" s="19"/>
      <c r="C20" s="19"/>
      <c r="D20" s="19"/>
      <c r="E20" s="19"/>
      <c r="F20" s="19"/>
      <c r="G20" s="19"/>
      <c r="H20" s="20"/>
    </row>
    <row r="21" spans="1:10" ht="15">
      <c r="A21" s="4">
        <v>1</v>
      </c>
      <c r="B21" s="5" t="s">
        <v>43</v>
      </c>
      <c r="C21" s="6">
        <f>4300+126+500</f>
        <v>4926</v>
      </c>
      <c r="D21" s="6"/>
      <c r="E21" s="6"/>
      <c r="F21" s="6"/>
      <c r="G21" s="13">
        <f>317.47+583.83+118.99+129.49+165.14+92.21</f>
        <v>1407.13</v>
      </c>
      <c r="H21" s="6">
        <f>C21+D21+E21+F21-G21</f>
        <v>3518.87</v>
      </c>
      <c r="I21" s="9">
        <f>714.96+1045.8+168.72+183.84+274.56+186</f>
        <v>2573.88</v>
      </c>
      <c r="J21" s="11">
        <f>C21-I21</f>
        <v>2352.12</v>
      </c>
    </row>
    <row r="22" spans="1:10" ht="15">
      <c r="A22" s="4">
        <v>2</v>
      </c>
      <c r="B22" s="5" t="s">
        <v>12</v>
      </c>
      <c r="C22" s="6"/>
      <c r="D22" s="6"/>
      <c r="E22" s="6">
        <v>1170</v>
      </c>
      <c r="F22" s="6"/>
      <c r="G22" s="13">
        <f>562.55+601.95</f>
        <v>1164.5</v>
      </c>
      <c r="H22" s="6">
        <f>C22+D22+E22+F22-G22</f>
        <v>5.5</v>
      </c>
      <c r="I22" s="10">
        <f>597.4+768.6</f>
        <v>1366</v>
      </c>
      <c r="J22" s="15">
        <f>E22-I22</f>
        <v>-196</v>
      </c>
    </row>
    <row r="23" spans="1:10" ht="15">
      <c r="A23" s="18" t="s">
        <v>22</v>
      </c>
      <c r="B23" s="19"/>
      <c r="C23" s="19"/>
      <c r="D23" s="19"/>
      <c r="E23" s="19"/>
      <c r="F23" s="19"/>
      <c r="G23" s="19"/>
      <c r="H23" s="20"/>
      <c r="J23" s="11"/>
    </row>
    <row r="24" spans="1:10" ht="15">
      <c r="A24" s="4">
        <v>1</v>
      </c>
      <c r="B24" s="5" t="s">
        <v>43</v>
      </c>
      <c r="C24" s="6">
        <f>4300+126+500</f>
        <v>4926</v>
      </c>
      <c r="D24" s="6"/>
      <c r="E24" s="6"/>
      <c r="F24" s="6"/>
      <c r="G24" s="13">
        <f>142.06+540.72+72.38+82.57+159.45</f>
        <v>997.1800000000001</v>
      </c>
      <c r="H24" s="6">
        <f>C24+D24+E24+F24-G24</f>
        <v>3928.8199999999997</v>
      </c>
      <c r="I24" s="9">
        <f>746.28+1562.04+172.8+220.32+256.08</f>
        <v>2957.52</v>
      </c>
      <c r="J24" s="11">
        <f>C24-I24</f>
        <v>1968.48</v>
      </c>
    </row>
    <row r="25" spans="1:10" ht="15">
      <c r="A25" s="4">
        <v>2</v>
      </c>
      <c r="B25" s="5" t="s">
        <v>12</v>
      </c>
      <c r="C25" s="6"/>
      <c r="D25" s="6"/>
      <c r="E25" s="6">
        <v>1170</v>
      </c>
      <c r="F25" s="6"/>
      <c r="G25" s="13">
        <f>568.18+600.26</f>
        <v>1168.44</v>
      </c>
      <c r="H25" s="6">
        <f>C25+D25+E25+F25-G25</f>
        <v>1.5599999999999454</v>
      </c>
      <c r="I25" s="10">
        <f>595+744.8</f>
        <v>1339.8</v>
      </c>
      <c r="J25" s="15">
        <f>E25-I25</f>
        <v>-169.79999999999995</v>
      </c>
    </row>
    <row r="26" spans="1:8" ht="15">
      <c r="A26" s="18" t="s">
        <v>23</v>
      </c>
      <c r="B26" s="19"/>
      <c r="C26" s="19"/>
      <c r="D26" s="19"/>
      <c r="E26" s="19"/>
      <c r="F26" s="19"/>
      <c r="G26" s="19"/>
      <c r="H26" s="20"/>
    </row>
    <row r="27" spans="1:10" ht="15">
      <c r="A27" s="4">
        <v>1</v>
      </c>
      <c r="B27" s="5" t="s">
        <v>43</v>
      </c>
      <c r="C27" s="6">
        <f>4300+126+500</f>
        <v>4926</v>
      </c>
      <c r="D27" s="6"/>
      <c r="E27" s="6"/>
      <c r="F27" s="6"/>
      <c r="G27" s="6">
        <f>0+406.86+0.48+271.32+151.27+0</f>
        <v>829.9300000000001</v>
      </c>
      <c r="H27" s="6">
        <f>C27+D27+E27+F27-G27</f>
        <v>4096.07</v>
      </c>
      <c r="I27" s="9">
        <f>0+1075.68+0.48+355.44+212.64+0</f>
        <v>1644.2400000000002</v>
      </c>
      <c r="J27" s="11">
        <f>C27-I27</f>
        <v>3281.7599999999998</v>
      </c>
    </row>
    <row r="28" spans="1:10" ht="15">
      <c r="A28" s="4">
        <v>2</v>
      </c>
      <c r="B28" s="5" t="s">
        <v>12</v>
      </c>
      <c r="C28" s="6"/>
      <c r="D28" s="6"/>
      <c r="E28" s="6">
        <v>1170</v>
      </c>
      <c r="F28" s="6"/>
      <c r="G28" s="6">
        <f>571.1+676.66</f>
        <v>1247.76</v>
      </c>
      <c r="H28" s="7">
        <f>C28+D28+E28+F28-G28</f>
        <v>-77.75999999999999</v>
      </c>
      <c r="I28" s="9">
        <f>590.6+776.6</f>
        <v>1367.2</v>
      </c>
      <c r="J28" s="15">
        <f>E28-I28</f>
        <v>-197.20000000000005</v>
      </c>
    </row>
    <row r="29" spans="1:8" ht="15">
      <c r="A29" s="18" t="s">
        <v>24</v>
      </c>
      <c r="B29" s="19"/>
      <c r="C29" s="19"/>
      <c r="D29" s="19"/>
      <c r="E29" s="19"/>
      <c r="F29" s="19"/>
      <c r="G29" s="19"/>
      <c r="H29" s="20"/>
    </row>
    <row r="30" spans="1:10" ht="15">
      <c r="A30" s="4">
        <v>1</v>
      </c>
      <c r="B30" s="5" t="s">
        <v>43</v>
      </c>
      <c r="C30" s="6">
        <f>4300+126+500</f>
        <v>4926</v>
      </c>
      <c r="D30" s="6"/>
      <c r="E30" s="6"/>
      <c r="F30" s="6"/>
      <c r="G30" s="6">
        <f>0+394.94+0+221.18+145.63+0</f>
        <v>761.75</v>
      </c>
      <c r="H30" s="6">
        <f>C30+D30+E30+F30-G30</f>
        <v>4164.25</v>
      </c>
      <c r="I30" s="9">
        <f>0+1465.56+0+341.04+221.28+0</f>
        <v>2027.8799999999999</v>
      </c>
      <c r="J30" s="11">
        <f>C30-I30</f>
        <v>2898.12</v>
      </c>
    </row>
    <row r="31" spans="1:10" ht="15.75" customHeight="1">
      <c r="A31" s="4">
        <v>2</v>
      </c>
      <c r="B31" s="5" t="s">
        <v>12</v>
      </c>
      <c r="C31" s="6"/>
      <c r="D31" s="6"/>
      <c r="E31" s="6">
        <v>1170</v>
      </c>
      <c r="F31" s="6"/>
      <c r="G31" s="6">
        <f>562.57+653.14</f>
        <v>1215.71</v>
      </c>
      <c r="H31" s="7">
        <f>C31+D31+E31+F31-G31</f>
        <v>-45.710000000000036</v>
      </c>
      <c r="I31" s="9">
        <f>595.2+796.2</f>
        <v>1391.4</v>
      </c>
      <c r="J31" s="15">
        <f>E31-I31</f>
        <v>-221.4000000000001</v>
      </c>
    </row>
    <row r="32" spans="1:8" ht="15">
      <c r="A32" s="18" t="s">
        <v>9</v>
      </c>
      <c r="B32" s="19"/>
      <c r="C32" s="19"/>
      <c r="D32" s="19"/>
      <c r="E32" s="19"/>
      <c r="F32" s="19"/>
      <c r="G32" s="19"/>
      <c r="H32" s="20"/>
    </row>
    <row r="33" spans="1:10" ht="15">
      <c r="A33" s="4">
        <v>1</v>
      </c>
      <c r="B33" s="5" t="s">
        <v>43</v>
      </c>
      <c r="C33" s="6">
        <f>4300+126+500</f>
        <v>4926</v>
      </c>
      <c r="D33" s="6"/>
      <c r="E33" s="6"/>
      <c r="F33" s="6"/>
      <c r="G33" s="6">
        <f>0+1303.26+0.48+159.37+169.54+0</f>
        <v>1632.65</v>
      </c>
      <c r="H33" s="6">
        <f>C33+D33+E33+F33-G33</f>
        <v>3293.35</v>
      </c>
      <c r="I33" s="9">
        <f>0+1833.84+0.48+221.28+276.96+0</f>
        <v>2332.56</v>
      </c>
      <c r="J33" s="11">
        <f>C33-I33</f>
        <v>2593.44</v>
      </c>
    </row>
    <row r="34" spans="1:10" ht="15.75" customHeight="1">
      <c r="A34" s="4">
        <v>2</v>
      </c>
      <c r="B34" s="5" t="s">
        <v>12</v>
      </c>
      <c r="C34" s="6"/>
      <c r="D34" s="6"/>
      <c r="E34" s="6">
        <v>1170</v>
      </c>
      <c r="F34" s="6"/>
      <c r="G34" s="6">
        <f>533.89+485.21</f>
        <v>1019.0999999999999</v>
      </c>
      <c r="H34" s="6">
        <f>C34+D34+E34+F34-G34</f>
        <v>150.9000000000001</v>
      </c>
      <c r="I34" s="9">
        <f>567.2+569.4</f>
        <v>1136.6</v>
      </c>
      <c r="J34" s="11">
        <f>E34-I34</f>
        <v>33.40000000000009</v>
      </c>
    </row>
    <row r="35" spans="1:8" ht="15">
      <c r="A35" s="18" t="s">
        <v>10</v>
      </c>
      <c r="B35" s="19"/>
      <c r="C35" s="19"/>
      <c r="D35" s="19"/>
      <c r="E35" s="19"/>
      <c r="F35" s="19"/>
      <c r="G35" s="19"/>
      <c r="H35" s="20"/>
    </row>
    <row r="36" spans="1:10" ht="15.75" customHeight="1">
      <c r="A36" s="4">
        <v>1</v>
      </c>
      <c r="B36" s="5" t="s">
        <v>43</v>
      </c>
      <c r="C36" s="6">
        <f>4300+126+500</f>
        <v>4926</v>
      </c>
      <c r="D36" s="6"/>
      <c r="E36" s="6"/>
      <c r="F36" s="6"/>
      <c r="G36" s="6">
        <f>0+1252.95+0+240.28+208.31+0</f>
        <v>1701.54</v>
      </c>
      <c r="H36" s="6">
        <f>C36+D36+E36+F36-G36</f>
        <v>3224.46</v>
      </c>
      <c r="I36" s="9">
        <f>0+1779.84+0+327.84+319.86+0</f>
        <v>2427.54</v>
      </c>
      <c r="J36" s="11">
        <f>C36-I36</f>
        <v>2498.46</v>
      </c>
    </row>
    <row r="37" spans="1:10" ht="15.75" customHeight="1">
      <c r="A37" s="4">
        <v>2</v>
      </c>
      <c r="B37" s="5" t="s">
        <v>12</v>
      </c>
      <c r="C37" s="6"/>
      <c r="D37" s="6"/>
      <c r="E37" s="6">
        <v>1170</v>
      </c>
      <c r="F37" s="6"/>
      <c r="G37" s="6">
        <f>488.68+414.66</f>
        <v>903.34</v>
      </c>
      <c r="H37" s="6">
        <f>C37+D37+E37+F37-G37</f>
        <v>266.65999999999997</v>
      </c>
      <c r="I37" s="9">
        <f>550.6+489.3</f>
        <v>1039.9</v>
      </c>
      <c r="J37" s="11">
        <f>E37-I37</f>
        <v>130.0999999999999</v>
      </c>
    </row>
    <row r="38" spans="1:8" ht="15">
      <c r="A38" s="18" t="s">
        <v>13</v>
      </c>
      <c r="B38" s="19"/>
      <c r="C38" s="19"/>
      <c r="D38" s="19"/>
      <c r="E38" s="19"/>
      <c r="F38" s="19"/>
      <c r="G38" s="19"/>
      <c r="H38" s="20"/>
    </row>
    <row r="39" spans="1:10" ht="15">
      <c r="A39" s="4">
        <v>1</v>
      </c>
      <c r="B39" s="5" t="s">
        <v>43</v>
      </c>
      <c r="C39" s="6">
        <f>4300+126+500</f>
        <v>4926</v>
      </c>
      <c r="D39" s="6"/>
      <c r="E39" s="6"/>
      <c r="F39" s="6"/>
      <c r="G39" s="6">
        <f>0+1131.02+0+235.81+241.59+0</f>
        <v>1608.4199999999998</v>
      </c>
      <c r="H39" s="6">
        <f>C39+D39+E39+F39-G39</f>
        <v>3317.58</v>
      </c>
      <c r="I39" s="9">
        <f>0+1894.32+0+436.56+315.12+0</f>
        <v>2646</v>
      </c>
      <c r="J39" s="11">
        <f>C39-I39</f>
        <v>2280</v>
      </c>
    </row>
    <row r="40" spans="1:10" ht="15">
      <c r="A40" s="4">
        <v>2</v>
      </c>
      <c r="B40" s="5" t="s">
        <v>12</v>
      </c>
      <c r="C40" s="6"/>
      <c r="D40" s="6"/>
      <c r="E40" s="6">
        <v>1170</v>
      </c>
      <c r="F40" s="6"/>
      <c r="G40" s="6">
        <f>511.59+397.29</f>
        <v>908.88</v>
      </c>
      <c r="H40" s="6">
        <f>C40+D40+E40+F40-G40</f>
        <v>261.12</v>
      </c>
      <c r="I40" s="9">
        <f>565.4+417.4</f>
        <v>982.8</v>
      </c>
      <c r="J40" s="11">
        <f>E40-I40</f>
        <v>187.20000000000005</v>
      </c>
    </row>
    <row r="41" spans="1:8" ht="15">
      <c r="A41" s="18" t="s">
        <v>14</v>
      </c>
      <c r="B41" s="19"/>
      <c r="C41" s="19"/>
      <c r="D41" s="19"/>
      <c r="E41" s="19"/>
      <c r="F41" s="19"/>
      <c r="G41" s="19"/>
      <c r="H41" s="20"/>
    </row>
    <row r="42" spans="1:10" ht="15">
      <c r="A42" s="4">
        <v>1</v>
      </c>
      <c r="B42" s="5" t="s">
        <v>43</v>
      </c>
      <c r="C42" s="6">
        <f>4300+126+500</f>
        <v>4926</v>
      </c>
      <c r="D42" s="6"/>
      <c r="E42" s="6"/>
      <c r="F42" s="6"/>
      <c r="G42" s="6">
        <f>0+210.59+0+345.11+244.7+0</f>
        <v>800.4000000000001</v>
      </c>
      <c r="H42" s="6">
        <f>C42+D42+E42+F42-G42</f>
        <v>4125.6</v>
      </c>
      <c r="I42" s="9">
        <f>0+1020.96+0+434.4+304.8+0</f>
        <v>1760.16</v>
      </c>
      <c r="J42" s="11">
        <f>C42-I42</f>
        <v>3165.84</v>
      </c>
    </row>
    <row r="43" spans="1:10" ht="15">
      <c r="A43" s="4">
        <v>2</v>
      </c>
      <c r="B43" s="5" t="s">
        <v>12</v>
      </c>
      <c r="C43" s="6"/>
      <c r="D43" s="6"/>
      <c r="E43" s="6">
        <v>1170</v>
      </c>
      <c r="F43" s="6"/>
      <c r="G43" s="6">
        <f>510.86+404.43</f>
        <v>915.29</v>
      </c>
      <c r="H43" s="6">
        <f>C43+D43+E43+F43-G43</f>
        <v>254.71000000000004</v>
      </c>
      <c r="I43" s="9">
        <f>565.6+427</f>
        <v>992.6</v>
      </c>
      <c r="J43" s="11">
        <f>E43-I43</f>
        <v>177.39999999999998</v>
      </c>
    </row>
    <row r="44" spans="1:8" ht="15">
      <c r="A44" s="4"/>
      <c r="B44" s="4"/>
      <c r="C44" s="6"/>
      <c r="D44" s="6"/>
      <c r="E44" s="6"/>
      <c r="F44" s="6"/>
      <c r="G44" s="6"/>
      <c r="H44" s="6"/>
    </row>
    <row r="45" spans="1:8" ht="28.5" customHeight="1">
      <c r="A45" s="17" t="s">
        <v>16</v>
      </c>
      <c r="B45" s="17"/>
      <c r="C45" s="17"/>
      <c r="D45" s="17"/>
      <c r="E45" s="17"/>
      <c r="F45" s="17"/>
      <c r="G45" s="17"/>
      <c r="H45" s="17"/>
    </row>
    <row r="46" spans="1:8" ht="15" customHeight="1">
      <c r="A46" s="17" t="s">
        <v>37</v>
      </c>
      <c r="B46" s="17"/>
      <c r="C46" s="17"/>
      <c r="D46" s="17"/>
      <c r="E46" s="17"/>
      <c r="F46" s="17"/>
      <c r="G46" s="17"/>
      <c r="H46" s="17"/>
    </row>
    <row r="47" spans="1:8" ht="15">
      <c r="A47" s="17"/>
      <c r="B47" s="17"/>
      <c r="C47" s="17"/>
      <c r="D47" s="17"/>
      <c r="E47" s="17"/>
      <c r="F47" s="17"/>
      <c r="G47" s="17"/>
      <c r="H47" s="17"/>
    </row>
  </sheetData>
  <sheetProtection/>
  <mergeCells count="24">
    <mergeCell ref="A35:H35"/>
    <mergeCell ref="A38:H38"/>
    <mergeCell ref="A41:H41"/>
    <mergeCell ref="A45:H45"/>
    <mergeCell ref="A46:H46"/>
    <mergeCell ref="A47:H47"/>
    <mergeCell ref="A17:H17"/>
    <mergeCell ref="A20:H20"/>
    <mergeCell ref="A23:H23"/>
    <mergeCell ref="A26:H26"/>
    <mergeCell ref="A29:H29"/>
    <mergeCell ref="A32:H32"/>
    <mergeCell ref="A11:H11"/>
    <mergeCell ref="A14:H14"/>
    <mergeCell ref="A6:A7"/>
    <mergeCell ref="B6:B7"/>
    <mergeCell ref="C6:F6"/>
    <mergeCell ref="G6:G7"/>
    <mergeCell ref="A1:H1"/>
    <mergeCell ref="A2:H2"/>
    <mergeCell ref="A3:H3"/>
    <mergeCell ref="A4:H4"/>
    <mergeCell ref="H6:H7"/>
    <mergeCell ref="A8:H8"/>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47"/>
  <sheetViews>
    <sheetView zoomScalePageLayoutView="0" workbookViewId="0" topLeftCell="A11">
      <selection activeCell="J18" sqref="J18"/>
    </sheetView>
  </sheetViews>
  <sheetFormatPr defaultColWidth="9.140625" defaultRowHeight="12.75"/>
  <cols>
    <col min="1" max="1" width="5.140625" style="1" customWidth="1"/>
    <col min="2" max="2" width="49.8515625" style="1" customWidth="1"/>
    <col min="3" max="6" width="12.8515625" style="1" customWidth="1"/>
    <col min="7" max="8" width="17.7109375" style="1" customWidth="1"/>
    <col min="9" max="9" width="9.140625" style="9" customWidth="1"/>
    <col min="10" max="10" width="8.8515625" style="9" customWidth="1"/>
    <col min="11" max="11" width="9.140625" style="12" customWidth="1"/>
    <col min="12" max="16384" width="9.140625" style="1" customWidth="1"/>
  </cols>
  <sheetData>
    <row r="1" spans="1:8" ht="22.5" customHeight="1">
      <c r="A1" s="21" t="s">
        <v>34</v>
      </c>
      <c r="B1" s="21"/>
      <c r="C1" s="21"/>
      <c r="D1" s="21"/>
      <c r="E1" s="21"/>
      <c r="F1" s="21"/>
      <c r="G1" s="21"/>
      <c r="H1" s="21"/>
    </row>
    <row r="2" spans="1:8" ht="22.5" customHeight="1">
      <c r="A2" s="21" t="s">
        <v>35</v>
      </c>
      <c r="B2" s="21"/>
      <c r="C2" s="21"/>
      <c r="D2" s="21"/>
      <c r="E2" s="21"/>
      <c r="F2" s="21"/>
      <c r="G2" s="21"/>
      <c r="H2" s="21"/>
    </row>
    <row r="3" spans="1:8" ht="36.75" customHeight="1">
      <c r="A3" s="22" t="s">
        <v>36</v>
      </c>
      <c r="B3" s="22"/>
      <c r="C3" s="22"/>
      <c r="D3" s="22"/>
      <c r="E3" s="22"/>
      <c r="F3" s="22"/>
      <c r="G3" s="22"/>
      <c r="H3" s="22"/>
    </row>
    <row r="4" spans="1:8" ht="15">
      <c r="A4" s="22" t="s">
        <v>25</v>
      </c>
      <c r="B4" s="22"/>
      <c r="C4" s="22"/>
      <c r="D4" s="22"/>
      <c r="E4" s="22"/>
      <c r="F4" s="22"/>
      <c r="G4" s="22"/>
      <c r="H4" s="22"/>
    </row>
    <row r="5" spans="1:8" ht="15">
      <c r="A5" s="2"/>
      <c r="B5" s="2"/>
      <c r="C5" s="2"/>
      <c r="D5" s="2"/>
      <c r="E5" s="2"/>
      <c r="F5" s="2"/>
      <c r="G5" s="2"/>
      <c r="H5" s="2"/>
    </row>
    <row r="6" spans="1:8" ht="40.5" customHeight="1">
      <c r="A6" s="23" t="s">
        <v>1</v>
      </c>
      <c r="B6" s="23" t="s">
        <v>7</v>
      </c>
      <c r="C6" s="25" t="s">
        <v>6</v>
      </c>
      <c r="D6" s="26"/>
      <c r="E6" s="26"/>
      <c r="F6" s="27"/>
      <c r="G6" s="23" t="s">
        <v>15</v>
      </c>
      <c r="H6" s="23" t="s">
        <v>8</v>
      </c>
    </row>
    <row r="7" spans="1:9" ht="15">
      <c r="A7" s="24"/>
      <c r="B7" s="24"/>
      <c r="C7" s="4" t="s">
        <v>3</v>
      </c>
      <c r="D7" s="4" t="s">
        <v>5</v>
      </c>
      <c r="E7" s="4" t="s">
        <v>4</v>
      </c>
      <c r="F7" s="4" t="s">
        <v>2</v>
      </c>
      <c r="G7" s="24"/>
      <c r="H7" s="24"/>
      <c r="I7" s="9" t="s">
        <v>42</v>
      </c>
    </row>
    <row r="8" spans="1:8" ht="15">
      <c r="A8" s="18" t="s">
        <v>17</v>
      </c>
      <c r="B8" s="19"/>
      <c r="C8" s="19"/>
      <c r="D8" s="19"/>
      <c r="E8" s="19"/>
      <c r="F8" s="19"/>
      <c r="G8" s="19"/>
      <c r="H8" s="20"/>
    </row>
    <row r="9" spans="1:8" ht="15">
      <c r="A9" s="4">
        <v>1</v>
      </c>
      <c r="B9" s="5" t="s">
        <v>11</v>
      </c>
      <c r="C9" s="6">
        <v>4300</v>
      </c>
      <c r="D9" s="6"/>
      <c r="E9" s="6"/>
      <c r="F9" s="6"/>
      <c r="G9" s="6">
        <v>1308.11</v>
      </c>
      <c r="H9" s="6">
        <f>C9+D9+E9+F9-G9</f>
        <v>2991.8900000000003</v>
      </c>
    </row>
    <row r="10" spans="1:8" ht="15">
      <c r="A10" s="4">
        <v>2</v>
      </c>
      <c r="B10" s="5" t="s">
        <v>12</v>
      </c>
      <c r="C10" s="6"/>
      <c r="D10" s="6"/>
      <c r="E10" s="6">
        <v>1170</v>
      </c>
      <c r="F10" s="6"/>
      <c r="G10" s="6">
        <v>978.92</v>
      </c>
      <c r="H10" s="6">
        <f>C10+D10+E10+F10-G10</f>
        <v>191.08000000000004</v>
      </c>
    </row>
    <row r="11" spans="1:8" ht="15">
      <c r="A11" s="18" t="s">
        <v>18</v>
      </c>
      <c r="B11" s="19"/>
      <c r="C11" s="19"/>
      <c r="D11" s="19"/>
      <c r="E11" s="19"/>
      <c r="F11" s="19"/>
      <c r="G11" s="19"/>
      <c r="H11" s="20"/>
    </row>
    <row r="12" spans="1:8" ht="15">
      <c r="A12" s="4">
        <v>1</v>
      </c>
      <c r="B12" s="5" t="s">
        <v>11</v>
      </c>
      <c r="C12" s="6">
        <v>4300</v>
      </c>
      <c r="D12" s="6"/>
      <c r="E12" s="6"/>
      <c r="F12" s="6"/>
      <c r="G12" s="6">
        <v>1384.76</v>
      </c>
      <c r="H12" s="6">
        <f>C12+D12+E12+F12-G12</f>
        <v>2915.24</v>
      </c>
    </row>
    <row r="13" spans="1:8" ht="15">
      <c r="A13" s="4">
        <v>2</v>
      </c>
      <c r="B13" s="5" t="s">
        <v>12</v>
      </c>
      <c r="C13" s="6"/>
      <c r="D13" s="6"/>
      <c r="E13" s="6">
        <v>1170</v>
      </c>
      <c r="F13" s="6"/>
      <c r="G13" s="6">
        <v>996.32</v>
      </c>
      <c r="H13" s="6">
        <f>C13+D13+E13+F13-G13</f>
        <v>173.67999999999995</v>
      </c>
    </row>
    <row r="14" spans="1:8" ht="15">
      <c r="A14" s="18" t="s">
        <v>19</v>
      </c>
      <c r="B14" s="19"/>
      <c r="C14" s="19"/>
      <c r="D14" s="19"/>
      <c r="E14" s="19"/>
      <c r="F14" s="19"/>
      <c r="G14" s="19"/>
      <c r="H14" s="20"/>
    </row>
    <row r="15" spans="1:8" ht="15">
      <c r="A15" s="4">
        <v>1</v>
      </c>
      <c r="B15" s="5" t="s">
        <v>11</v>
      </c>
      <c r="C15" s="6">
        <v>4300</v>
      </c>
      <c r="D15" s="6"/>
      <c r="E15" s="6"/>
      <c r="F15" s="6"/>
      <c r="G15" s="6">
        <v>1363.73</v>
      </c>
      <c r="H15" s="6">
        <f>C15+D15+E15+F15-G15</f>
        <v>2936.27</v>
      </c>
    </row>
    <row r="16" spans="1:8" ht="15">
      <c r="A16" s="4">
        <v>2</v>
      </c>
      <c r="B16" s="5" t="s">
        <v>12</v>
      </c>
      <c r="C16" s="6"/>
      <c r="D16" s="6"/>
      <c r="E16" s="6">
        <v>1170</v>
      </c>
      <c r="F16" s="6"/>
      <c r="G16" s="6">
        <v>982.01</v>
      </c>
      <c r="H16" s="6">
        <f>C16+D16+E16+F16-G16</f>
        <v>187.99</v>
      </c>
    </row>
    <row r="17" spans="1:8" ht="15">
      <c r="A17" s="18" t="s">
        <v>20</v>
      </c>
      <c r="B17" s="19"/>
      <c r="C17" s="19"/>
      <c r="D17" s="19"/>
      <c r="E17" s="19"/>
      <c r="F17" s="19"/>
      <c r="G17" s="19"/>
      <c r="H17" s="20"/>
    </row>
    <row r="18" spans="1:8" ht="15">
      <c r="A18" s="4">
        <v>1</v>
      </c>
      <c r="B18" s="5" t="s">
        <v>11</v>
      </c>
      <c r="C18" s="6">
        <v>4300</v>
      </c>
      <c r="D18" s="6"/>
      <c r="E18" s="6"/>
      <c r="F18" s="6"/>
      <c r="G18" s="6">
        <v>1360.25</v>
      </c>
      <c r="H18" s="6">
        <f>C18+D18+E18+F18-G18</f>
        <v>2939.75</v>
      </c>
    </row>
    <row r="19" spans="1:8" ht="15">
      <c r="A19" s="4">
        <v>2</v>
      </c>
      <c r="B19" s="5" t="s">
        <v>12</v>
      </c>
      <c r="C19" s="6"/>
      <c r="D19" s="6"/>
      <c r="E19" s="6">
        <v>1170</v>
      </c>
      <c r="F19" s="6"/>
      <c r="G19" s="6">
        <v>1004.96</v>
      </c>
      <c r="H19" s="6">
        <f>C19+D19+E19+F19-G19</f>
        <v>165.03999999999996</v>
      </c>
    </row>
    <row r="20" spans="1:8" ht="15">
      <c r="A20" s="18" t="s">
        <v>21</v>
      </c>
      <c r="B20" s="19"/>
      <c r="C20" s="19"/>
      <c r="D20" s="19"/>
      <c r="E20" s="19"/>
      <c r="F20" s="19"/>
      <c r="G20" s="19"/>
      <c r="H20" s="20"/>
    </row>
    <row r="21" spans="1:8" ht="15">
      <c r="A21" s="4">
        <v>1</v>
      </c>
      <c r="B21" s="5" t="s">
        <v>11</v>
      </c>
      <c r="C21" s="6">
        <v>4300</v>
      </c>
      <c r="D21" s="6"/>
      <c r="E21" s="6"/>
      <c r="F21" s="6"/>
      <c r="G21" s="8">
        <v>1250</v>
      </c>
      <c r="H21" s="6">
        <f>C21+D21+E21+F21-G21</f>
        <v>3050</v>
      </c>
    </row>
    <row r="22" spans="1:10" ht="15">
      <c r="A22" s="4">
        <v>2</v>
      </c>
      <c r="B22" s="5" t="s">
        <v>12</v>
      </c>
      <c r="C22" s="6"/>
      <c r="D22" s="6"/>
      <c r="E22" s="6">
        <v>1170</v>
      </c>
      <c r="F22" s="6"/>
      <c r="G22" s="6">
        <v>1213.12</v>
      </c>
      <c r="H22" s="7">
        <f>C22+D22+E22+F22-G22</f>
        <v>-43.11999999999989</v>
      </c>
      <c r="I22" s="10">
        <v>1366.4</v>
      </c>
      <c r="J22" s="11">
        <f>E22-I22</f>
        <v>-196.4000000000001</v>
      </c>
    </row>
    <row r="23" spans="1:10" ht="15">
      <c r="A23" s="18" t="s">
        <v>22</v>
      </c>
      <c r="B23" s="19"/>
      <c r="C23" s="19"/>
      <c r="D23" s="19"/>
      <c r="E23" s="19"/>
      <c r="F23" s="19"/>
      <c r="G23" s="19"/>
      <c r="H23" s="20"/>
      <c r="J23" s="11"/>
    </row>
    <row r="24" spans="1:10" ht="15">
      <c r="A24" s="4">
        <v>1</v>
      </c>
      <c r="B24" s="5" t="s">
        <v>11</v>
      </c>
      <c r="C24" s="6">
        <v>4300</v>
      </c>
      <c r="D24" s="6"/>
      <c r="E24" s="6"/>
      <c r="F24" s="6"/>
      <c r="G24" s="6">
        <v>1294.4</v>
      </c>
      <c r="H24" s="6">
        <f>C24+D24+E24+F24-G24</f>
        <v>3005.6</v>
      </c>
      <c r="J24" s="11"/>
    </row>
    <row r="25" spans="1:8" ht="15">
      <c r="A25" s="4">
        <v>2</v>
      </c>
      <c r="B25" s="5" t="s">
        <v>12</v>
      </c>
      <c r="C25" s="6"/>
      <c r="D25" s="6"/>
      <c r="E25" s="6">
        <v>1170</v>
      </c>
      <c r="F25" s="6"/>
      <c r="G25" s="6">
        <v>1189.36</v>
      </c>
      <c r="H25" s="7">
        <f>C25+D25+E25+F25-G25</f>
        <v>-19.3599999999999</v>
      </c>
    </row>
    <row r="26" spans="1:8" ht="15">
      <c r="A26" s="18" t="s">
        <v>23</v>
      </c>
      <c r="B26" s="19"/>
      <c r="C26" s="19"/>
      <c r="D26" s="19"/>
      <c r="E26" s="19"/>
      <c r="F26" s="19"/>
      <c r="G26" s="19"/>
      <c r="H26" s="20"/>
    </row>
    <row r="27" spans="1:8" ht="15">
      <c r="A27" s="4">
        <v>1</v>
      </c>
      <c r="B27" s="5" t="s">
        <v>11</v>
      </c>
      <c r="C27" s="6">
        <v>4300</v>
      </c>
      <c r="D27" s="6"/>
      <c r="E27" s="6"/>
      <c r="F27" s="6"/>
      <c r="G27" s="6">
        <v>1231.13</v>
      </c>
      <c r="H27" s="6">
        <f>C27+D27+E27+F27-G27</f>
        <v>3068.87</v>
      </c>
    </row>
    <row r="28" spans="1:8" ht="15">
      <c r="A28" s="4">
        <v>2</v>
      </c>
      <c r="B28" s="5" t="s">
        <v>12</v>
      </c>
      <c r="C28" s="6"/>
      <c r="D28" s="6"/>
      <c r="E28" s="6">
        <v>1170</v>
      </c>
      <c r="F28" s="6"/>
      <c r="G28" s="6">
        <v>1103.21</v>
      </c>
      <c r="H28" s="6">
        <f>C28+D28+E28+F28-G28</f>
        <v>66.78999999999996</v>
      </c>
    </row>
    <row r="29" spans="1:8" ht="15">
      <c r="A29" s="18" t="s">
        <v>24</v>
      </c>
      <c r="B29" s="19"/>
      <c r="C29" s="19"/>
      <c r="D29" s="19"/>
      <c r="E29" s="19"/>
      <c r="F29" s="19"/>
      <c r="G29" s="19"/>
      <c r="H29" s="20"/>
    </row>
    <row r="30" spans="1:8" ht="15">
      <c r="A30" s="4">
        <v>1</v>
      </c>
      <c r="B30" s="5" t="s">
        <v>11</v>
      </c>
      <c r="C30" s="6">
        <v>4300</v>
      </c>
      <c r="D30" s="6"/>
      <c r="E30" s="6"/>
      <c r="F30" s="6"/>
      <c r="G30" s="6">
        <v>1512.27</v>
      </c>
      <c r="H30" s="6">
        <f>C30+D30+E30+F30-G30</f>
        <v>2787.73</v>
      </c>
    </row>
    <row r="31" spans="1:10" ht="15.75" customHeight="1">
      <c r="A31" s="4">
        <v>2</v>
      </c>
      <c r="B31" s="5" t="s">
        <v>12</v>
      </c>
      <c r="C31" s="6"/>
      <c r="D31" s="6"/>
      <c r="E31" s="6">
        <v>1170</v>
      </c>
      <c r="F31" s="6"/>
      <c r="G31" s="6">
        <v>1174.78</v>
      </c>
      <c r="H31" s="7">
        <f>C31+D31+E31+F31-G31</f>
        <v>-4.779999999999973</v>
      </c>
      <c r="I31" s="9">
        <f>568.6+731.4</f>
        <v>1300</v>
      </c>
      <c r="J31" s="11">
        <f>E31-I31</f>
        <v>-130</v>
      </c>
    </row>
    <row r="32" spans="1:8" ht="15">
      <c r="A32" s="18" t="s">
        <v>9</v>
      </c>
      <c r="B32" s="19"/>
      <c r="C32" s="19"/>
      <c r="D32" s="19"/>
      <c r="E32" s="19"/>
      <c r="F32" s="19"/>
      <c r="G32" s="19"/>
      <c r="H32" s="20"/>
    </row>
    <row r="33" spans="1:10" ht="15">
      <c r="A33" s="4">
        <v>1</v>
      </c>
      <c r="B33" s="5" t="s">
        <v>11</v>
      </c>
      <c r="C33" s="6">
        <v>4300</v>
      </c>
      <c r="D33" s="6"/>
      <c r="E33" s="6"/>
      <c r="F33" s="6"/>
      <c r="G33" s="6">
        <v>1540.69</v>
      </c>
      <c r="H33" s="6">
        <f>C33+D33+E33+F33-G33</f>
        <v>2759.31</v>
      </c>
      <c r="I33" s="9">
        <v>1860</v>
      </c>
      <c r="J33" s="11">
        <f>C33-I33</f>
        <v>2440</v>
      </c>
    </row>
    <row r="34" spans="1:10" ht="15.75" customHeight="1">
      <c r="A34" s="4">
        <v>2</v>
      </c>
      <c r="B34" s="5" t="s">
        <v>12</v>
      </c>
      <c r="C34" s="6"/>
      <c r="D34" s="6"/>
      <c r="E34" s="6">
        <v>1170</v>
      </c>
      <c r="F34" s="6"/>
      <c r="G34" s="6">
        <v>1006.27</v>
      </c>
      <c r="H34" s="6">
        <f>C34+D34+E34+F34-G34</f>
        <v>163.73000000000002</v>
      </c>
      <c r="I34" s="9">
        <f>570.2+595</f>
        <v>1165.2</v>
      </c>
      <c r="J34" s="11">
        <f>E34-I34</f>
        <v>4.7999999999999545</v>
      </c>
    </row>
    <row r="35" spans="1:8" ht="15">
      <c r="A35" s="18" t="s">
        <v>10</v>
      </c>
      <c r="B35" s="19"/>
      <c r="C35" s="19"/>
      <c r="D35" s="19"/>
      <c r="E35" s="19"/>
      <c r="F35" s="19"/>
      <c r="G35" s="19"/>
      <c r="H35" s="20"/>
    </row>
    <row r="36" spans="1:10" ht="15.75" customHeight="1">
      <c r="A36" s="4">
        <v>1</v>
      </c>
      <c r="B36" s="5" t="s">
        <v>11</v>
      </c>
      <c r="C36" s="6">
        <v>4300</v>
      </c>
      <c r="D36" s="6"/>
      <c r="E36" s="6"/>
      <c r="F36" s="6"/>
      <c r="G36" s="6">
        <v>1567.24</v>
      </c>
      <c r="H36" s="6">
        <f>C36+D36+E36+F36-G36</f>
        <v>2732.76</v>
      </c>
      <c r="I36" s="9">
        <f>853.92+1140.48</f>
        <v>1994.4</v>
      </c>
      <c r="J36" s="11">
        <f>C36-I36</f>
        <v>2305.6</v>
      </c>
    </row>
    <row r="37" spans="1:10" ht="15.75" customHeight="1">
      <c r="A37" s="4">
        <v>2</v>
      </c>
      <c r="B37" s="5" t="s">
        <v>12</v>
      </c>
      <c r="C37" s="6"/>
      <c r="D37" s="6"/>
      <c r="E37" s="6">
        <v>1170</v>
      </c>
      <c r="F37" s="6"/>
      <c r="G37" s="6">
        <v>914.98</v>
      </c>
      <c r="H37" s="6">
        <f>C37+D37+E37+F37-G37</f>
        <v>255.01999999999998</v>
      </c>
      <c r="I37" s="9">
        <f>515.2+440.6</f>
        <v>955.8000000000001</v>
      </c>
      <c r="J37" s="11">
        <f>E37-I37</f>
        <v>214.19999999999993</v>
      </c>
    </row>
    <row r="38" spans="1:8" ht="15">
      <c r="A38" s="18" t="s">
        <v>13</v>
      </c>
      <c r="B38" s="19"/>
      <c r="C38" s="19"/>
      <c r="D38" s="19"/>
      <c r="E38" s="19"/>
      <c r="F38" s="19"/>
      <c r="G38" s="19"/>
      <c r="H38" s="20"/>
    </row>
    <row r="39" spans="1:10" ht="15">
      <c r="A39" s="4">
        <v>1</v>
      </c>
      <c r="B39" s="5" t="s">
        <v>11</v>
      </c>
      <c r="C39" s="6">
        <v>4300</v>
      </c>
      <c r="D39" s="6"/>
      <c r="E39" s="6"/>
      <c r="F39" s="6"/>
      <c r="G39" s="6">
        <v>1636.73</v>
      </c>
      <c r="H39" s="6">
        <f>C39+D39+E39+F39-G39</f>
        <v>2663.27</v>
      </c>
      <c r="I39" s="9">
        <f>853.92+1105.92</f>
        <v>1959.8400000000001</v>
      </c>
      <c r="J39" s="11">
        <f>C39-I39</f>
        <v>2340.16</v>
      </c>
    </row>
    <row r="40" spans="1:10" ht="15">
      <c r="A40" s="4">
        <v>2</v>
      </c>
      <c r="B40" s="5" t="s">
        <v>12</v>
      </c>
      <c r="C40" s="6"/>
      <c r="D40" s="6"/>
      <c r="E40" s="6">
        <v>1170</v>
      </c>
      <c r="F40" s="6"/>
      <c r="G40" s="6">
        <v>897.36</v>
      </c>
      <c r="H40" s="6">
        <f>C40+D40+E40+F40-G40</f>
        <v>272.64</v>
      </c>
      <c r="I40" s="9">
        <f>523.4+428.4</f>
        <v>951.8</v>
      </c>
      <c r="J40" s="11">
        <f>E40-I40</f>
        <v>218.20000000000005</v>
      </c>
    </row>
    <row r="41" spans="1:8" ht="15">
      <c r="A41" s="18" t="s">
        <v>14</v>
      </c>
      <c r="B41" s="19"/>
      <c r="C41" s="19"/>
      <c r="D41" s="19"/>
      <c r="E41" s="19"/>
      <c r="F41" s="19"/>
      <c r="G41" s="19"/>
      <c r="H41" s="20"/>
    </row>
    <row r="42" spans="1:10" ht="15">
      <c r="A42" s="4">
        <v>1</v>
      </c>
      <c r="B42" s="5" t="s">
        <v>11</v>
      </c>
      <c r="C42" s="6">
        <v>4300</v>
      </c>
      <c r="D42" s="6"/>
      <c r="E42" s="6"/>
      <c r="F42" s="6"/>
      <c r="G42" s="6">
        <v>1402.66</v>
      </c>
      <c r="H42" s="6">
        <f>C42+D42+E42+F42-G42</f>
        <v>2897.34</v>
      </c>
      <c r="I42" s="9">
        <f>1715.76+1993.68</f>
        <v>3709.44</v>
      </c>
      <c r="J42" s="11">
        <f>C42-I42</f>
        <v>590.56</v>
      </c>
    </row>
    <row r="43" spans="1:10" ht="15">
      <c r="A43" s="4">
        <v>2</v>
      </c>
      <c r="B43" s="5" t="s">
        <v>12</v>
      </c>
      <c r="C43" s="6"/>
      <c r="D43" s="6"/>
      <c r="E43" s="6">
        <v>1170</v>
      </c>
      <c r="F43" s="6"/>
      <c r="G43" s="6">
        <v>995.28</v>
      </c>
      <c r="H43" s="6">
        <f>C43+D43+E43+F43-G43</f>
        <v>174.72000000000003</v>
      </c>
      <c r="I43" s="9">
        <f>1036.8+872</f>
        <v>1908.8</v>
      </c>
      <c r="J43" s="11">
        <f>E43-I43</f>
        <v>-738.8</v>
      </c>
    </row>
    <row r="44" spans="1:8" ht="15">
      <c r="A44" s="4"/>
      <c r="B44" s="4"/>
      <c r="C44" s="6"/>
      <c r="D44" s="6"/>
      <c r="E44" s="6"/>
      <c r="F44" s="6"/>
      <c r="G44" s="6"/>
      <c r="H44" s="6"/>
    </row>
    <row r="45" spans="1:8" ht="28.5" customHeight="1">
      <c r="A45" s="17" t="s">
        <v>16</v>
      </c>
      <c r="B45" s="17"/>
      <c r="C45" s="17"/>
      <c r="D45" s="17"/>
      <c r="E45" s="17"/>
      <c r="F45" s="17"/>
      <c r="G45" s="17"/>
      <c r="H45" s="17"/>
    </row>
    <row r="46" spans="1:8" ht="15" customHeight="1">
      <c r="A46" s="17" t="s">
        <v>37</v>
      </c>
      <c r="B46" s="17"/>
      <c r="C46" s="17"/>
      <c r="D46" s="17"/>
      <c r="E46" s="17"/>
      <c r="F46" s="17"/>
      <c r="G46" s="17"/>
      <c r="H46" s="17"/>
    </row>
    <row r="47" spans="1:8" ht="15">
      <c r="A47" s="17"/>
      <c r="B47" s="17"/>
      <c r="C47" s="17"/>
      <c r="D47" s="17"/>
      <c r="E47" s="17"/>
      <c r="F47" s="17"/>
      <c r="G47" s="17"/>
      <c r="H47" s="17"/>
    </row>
  </sheetData>
  <sheetProtection/>
  <mergeCells count="24">
    <mergeCell ref="A47:H47"/>
    <mergeCell ref="A8:H8"/>
    <mergeCell ref="A11:H11"/>
    <mergeCell ref="A14:H14"/>
    <mergeCell ref="A17:H17"/>
    <mergeCell ref="A45:H45"/>
    <mergeCell ref="A26:H26"/>
    <mergeCell ref="A29:H29"/>
    <mergeCell ref="A35:H35"/>
    <mergeCell ref="A1:H1"/>
    <mergeCell ref="A2:H2"/>
    <mergeCell ref="A3:H3"/>
    <mergeCell ref="A4:H4"/>
    <mergeCell ref="A6:A7"/>
    <mergeCell ref="C6:F6"/>
    <mergeCell ref="G6:G7"/>
    <mergeCell ref="H6:H7"/>
    <mergeCell ref="B6:B7"/>
    <mergeCell ref="A23:H23"/>
    <mergeCell ref="A46:H46"/>
    <mergeCell ref="A41:H41"/>
    <mergeCell ref="A38:H38"/>
    <mergeCell ref="A32:H32"/>
    <mergeCell ref="A20:H2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hp</cp:lastModifiedBy>
  <cp:lastPrinted>2012-10-10T13:58:05Z</cp:lastPrinted>
  <dcterms:created xsi:type="dcterms:W3CDTF">1996-10-08T23:32:33Z</dcterms:created>
  <dcterms:modified xsi:type="dcterms:W3CDTF">2021-09-17T09:22:41Z</dcterms:modified>
  <cp:category/>
  <cp:version/>
  <cp:contentType/>
  <cp:contentStatus/>
</cp:coreProperties>
</file>